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320" windowHeight="7710"/>
  </bookViews>
  <sheets>
    <sheet name="메인" sheetId="8" r:id="rId1"/>
    <sheet name="입력" sheetId="1" r:id="rId2"/>
    <sheet name="계산탭" sheetId="2" state="hidden" r:id="rId3"/>
    <sheet name="변표일반" sheetId="3" state="hidden" r:id="rId4"/>
    <sheet name="변표특수" sheetId="4" state="hidden" r:id="rId5"/>
    <sheet name="서울대이과변표" sheetId="5" state="hidden" r:id="rId6"/>
    <sheet name="Sheet1" sheetId="9" state="hidden" r:id="rId7"/>
  </sheets>
  <calcPr calcId="145621"/>
</workbook>
</file>

<file path=xl/calcChain.xml><?xml version="1.0" encoding="utf-8"?>
<calcChain xmlns="http://schemas.openxmlformats.org/spreadsheetml/2006/main">
  <c r="H74" i="2" l="1"/>
  <c r="R38" i="2" l="1"/>
  <c r="F47" i="2" s="1"/>
  <c r="K5" i="2"/>
  <c r="K4" i="2"/>
  <c r="J5" i="2"/>
  <c r="J4" i="2"/>
  <c r="J3" i="2"/>
  <c r="J5" i="9"/>
  <c r="K5" i="9"/>
  <c r="J6" i="9"/>
  <c r="K6" i="9"/>
  <c r="J7" i="9"/>
  <c r="K7" i="9"/>
  <c r="J8" i="9"/>
  <c r="K8" i="9"/>
  <c r="J9" i="9"/>
  <c r="K9" i="9"/>
  <c r="J10" i="9"/>
  <c r="K10" i="9"/>
  <c r="J11" i="9"/>
  <c r="K11" i="9"/>
  <c r="J12" i="9"/>
  <c r="K12" i="9"/>
  <c r="J13" i="9"/>
  <c r="K13" i="9"/>
  <c r="J14" i="9"/>
  <c r="K14" i="9"/>
  <c r="J15" i="9"/>
  <c r="K15" i="9"/>
  <c r="J16" i="9"/>
  <c r="K16" i="9"/>
  <c r="J17" i="9"/>
  <c r="K17" i="9"/>
  <c r="J18" i="9"/>
  <c r="K18" i="9"/>
  <c r="J19" i="9"/>
  <c r="K19" i="9"/>
  <c r="J20" i="9"/>
  <c r="K20" i="9"/>
  <c r="J21" i="9"/>
  <c r="K21" i="9"/>
  <c r="J22" i="9"/>
  <c r="K22" i="9"/>
  <c r="J23" i="9"/>
  <c r="K23" i="9"/>
  <c r="J24" i="9"/>
  <c r="K24" i="9"/>
  <c r="J25" i="9"/>
  <c r="K25" i="9"/>
  <c r="J26" i="9"/>
  <c r="K26" i="9"/>
  <c r="J27" i="9"/>
  <c r="K27" i="9"/>
  <c r="J28" i="9"/>
  <c r="K28" i="9"/>
  <c r="J29" i="9"/>
  <c r="K29" i="9"/>
  <c r="J30" i="9"/>
  <c r="K30" i="9"/>
  <c r="J31" i="9"/>
  <c r="K31" i="9"/>
  <c r="J32" i="9"/>
  <c r="K32" i="9"/>
  <c r="J33" i="9"/>
  <c r="K33" i="9"/>
  <c r="J34" i="9"/>
  <c r="K34" i="9"/>
  <c r="J35" i="9"/>
  <c r="K35" i="9"/>
  <c r="J36" i="9"/>
  <c r="K36" i="9"/>
  <c r="J37" i="9"/>
  <c r="K37" i="9"/>
  <c r="J38" i="9"/>
  <c r="K38" i="9"/>
  <c r="J39" i="9"/>
  <c r="K39" i="9"/>
  <c r="J40" i="9"/>
  <c r="K40" i="9"/>
  <c r="J41" i="9"/>
  <c r="K41" i="9"/>
  <c r="J42" i="9"/>
  <c r="K42" i="9"/>
  <c r="J43" i="9"/>
  <c r="K43" i="9"/>
  <c r="J44" i="9"/>
  <c r="K44" i="9"/>
  <c r="J45" i="9"/>
  <c r="K45" i="9"/>
  <c r="J46" i="9"/>
  <c r="K46" i="9"/>
  <c r="J47" i="9"/>
  <c r="K47" i="9"/>
  <c r="J48" i="9"/>
  <c r="K48" i="9"/>
  <c r="J49" i="9"/>
  <c r="K49" i="9"/>
  <c r="J50" i="9"/>
  <c r="K50" i="9"/>
  <c r="J51" i="9"/>
  <c r="K51" i="9"/>
  <c r="J52" i="9"/>
  <c r="K52" i="9"/>
  <c r="J53" i="9"/>
  <c r="K53" i="9"/>
  <c r="J54" i="9"/>
  <c r="K54" i="9"/>
  <c r="J55" i="9"/>
  <c r="K55" i="9"/>
  <c r="J56" i="9"/>
  <c r="K56" i="9"/>
  <c r="J57" i="9"/>
  <c r="K57" i="9"/>
  <c r="J58" i="9"/>
  <c r="K58" i="9"/>
  <c r="J59" i="9"/>
  <c r="K59" i="9"/>
  <c r="J60" i="9"/>
  <c r="K60" i="9"/>
  <c r="J61" i="9"/>
  <c r="K61" i="9"/>
  <c r="J62" i="9"/>
  <c r="K62" i="9"/>
  <c r="J63" i="9"/>
  <c r="K63" i="9"/>
  <c r="J64" i="9"/>
  <c r="K64" i="9"/>
  <c r="J65" i="9"/>
  <c r="K65" i="9"/>
  <c r="J66" i="9"/>
  <c r="K66" i="9"/>
  <c r="J67" i="9"/>
  <c r="K67" i="9"/>
  <c r="J68" i="9"/>
  <c r="K68" i="9"/>
  <c r="J69" i="9"/>
  <c r="K69" i="9"/>
  <c r="J70" i="9"/>
  <c r="K70" i="9"/>
  <c r="J71" i="9"/>
  <c r="K71" i="9"/>
  <c r="J72" i="9"/>
  <c r="K72" i="9"/>
  <c r="J73" i="9"/>
  <c r="K73" i="9"/>
  <c r="J74" i="9"/>
  <c r="K74" i="9"/>
  <c r="J75" i="9"/>
  <c r="K75" i="9"/>
  <c r="J76" i="9"/>
  <c r="K76" i="9"/>
  <c r="J77" i="9"/>
  <c r="K77" i="9"/>
  <c r="J78" i="9"/>
  <c r="K78" i="9"/>
  <c r="J79" i="9"/>
  <c r="K79" i="9"/>
  <c r="J80" i="9"/>
  <c r="K80" i="9"/>
  <c r="J81" i="9"/>
  <c r="K81" i="9"/>
  <c r="J82" i="9"/>
  <c r="K82" i="9"/>
  <c r="J83" i="9"/>
  <c r="K83" i="9"/>
  <c r="J84" i="9"/>
  <c r="K84" i="9"/>
  <c r="J85" i="9"/>
  <c r="K85" i="9"/>
  <c r="J86" i="9"/>
  <c r="K86" i="9"/>
  <c r="J87" i="9"/>
  <c r="K87" i="9"/>
  <c r="J88" i="9"/>
  <c r="K88" i="9"/>
  <c r="J89" i="9"/>
  <c r="K89" i="9"/>
  <c r="J90" i="9"/>
  <c r="K90" i="9"/>
  <c r="J91" i="9"/>
  <c r="K91" i="9"/>
  <c r="J92" i="9"/>
  <c r="K92" i="9"/>
  <c r="J93" i="9"/>
  <c r="K93" i="9"/>
  <c r="J94" i="9"/>
  <c r="K94" i="9"/>
  <c r="J95" i="9"/>
  <c r="K95" i="9"/>
  <c r="J96" i="9"/>
  <c r="K96" i="9"/>
  <c r="J97" i="9"/>
  <c r="K97" i="9"/>
  <c r="J98" i="9"/>
  <c r="K98" i="9"/>
  <c r="J99" i="9"/>
  <c r="K99" i="9"/>
  <c r="J100" i="9"/>
  <c r="K100" i="9"/>
  <c r="J101" i="9"/>
  <c r="K101" i="9"/>
  <c r="J102" i="9"/>
  <c r="K102" i="9"/>
  <c r="J103" i="9"/>
  <c r="K103" i="9"/>
  <c r="K4" i="9"/>
  <c r="J4" i="9"/>
  <c r="F93" i="2"/>
  <c r="D93" i="2"/>
  <c r="C93" i="2"/>
  <c r="B93" i="2"/>
  <c r="D92" i="2"/>
  <c r="C92" i="2"/>
  <c r="B92" i="2"/>
  <c r="S20" i="1" l="1"/>
  <c r="S19" i="1"/>
  <c r="T24" i="1"/>
  <c r="T23" i="1"/>
  <c r="T22" i="1"/>
  <c r="T21" i="1"/>
  <c r="S21" i="1"/>
  <c r="T20" i="1"/>
  <c r="T19" i="1"/>
  <c r="S6" i="1"/>
  <c r="S5" i="1"/>
  <c r="T5" i="1"/>
  <c r="T6" i="1"/>
  <c r="T7" i="1"/>
  <c r="T8" i="1"/>
  <c r="T9" i="1"/>
  <c r="T4" i="1"/>
  <c r="S4" i="1"/>
  <c r="U19" i="1" l="1"/>
  <c r="U4" i="1"/>
  <c r="D78" i="2" l="1"/>
  <c r="C78" i="2"/>
  <c r="B78" i="2"/>
  <c r="H78" i="2" l="1"/>
  <c r="B73" i="2"/>
  <c r="L45" i="2" l="1"/>
  <c r="L44" i="2"/>
  <c r="L43" i="2"/>
  <c r="G40" i="2"/>
  <c r="F40" i="2"/>
  <c r="O38" i="2" s="1"/>
  <c r="E40" i="2"/>
  <c r="D40" i="2"/>
  <c r="C40" i="2"/>
  <c r="B40" i="2"/>
  <c r="G39" i="2"/>
  <c r="R37" i="2" l="1"/>
  <c r="E47" i="2" s="1"/>
  <c r="E93" i="2"/>
  <c r="H93" i="2" s="1"/>
  <c r="C85" i="2"/>
  <c r="C81" i="2"/>
  <c r="C79" i="2"/>
  <c r="C76" i="2"/>
  <c r="C71" i="2"/>
  <c r="C66" i="2"/>
  <c r="C67" i="2"/>
  <c r="C55" i="2"/>
  <c r="C52" i="2"/>
  <c r="C51" i="2"/>
  <c r="C61" i="2"/>
  <c r="C54" i="2"/>
  <c r="C49" i="2"/>
  <c r="C46" i="2"/>
  <c r="E85" i="2"/>
  <c r="E81" i="2"/>
  <c r="E79" i="2"/>
  <c r="E77" i="2"/>
  <c r="E76" i="2"/>
  <c r="E72" i="2"/>
  <c r="E71" i="2"/>
  <c r="E66" i="2"/>
  <c r="E67" i="2"/>
  <c r="H67" i="2" s="1"/>
  <c r="E55" i="2"/>
  <c r="E52" i="2"/>
  <c r="E51" i="2"/>
  <c r="E57" i="2"/>
  <c r="E56" i="2"/>
  <c r="E54" i="2"/>
  <c r="E49" i="2"/>
  <c r="E46" i="2"/>
  <c r="B85" i="2"/>
  <c r="B81" i="2"/>
  <c r="B79" i="2"/>
  <c r="B76" i="2"/>
  <c r="B67" i="2"/>
  <c r="B61" i="2"/>
  <c r="B54" i="2"/>
  <c r="B52" i="2"/>
  <c r="B51" i="2"/>
  <c r="B55" i="2"/>
  <c r="B49" i="2"/>
  <c r="B46" i="2"/>
  <c r="D85" i="2"/>
  <c r="D81" i="2"/>
  <c r="D79" i="2"/>
  <c r="D76" i="2"/>
  <c r="D71" i="2"/>
  <c r="D67" i="2"/>
  <c r="D66" i="2"/>
  <c r="D61" i="2"/>
  <c r="D54" i="2"/>
  <c r="D51" i="2"/>
  <c r="D55" i="2"/>
  <c r="D52" i="2"/>
  <c r="D49" i="2"/>
  <c r="D46" i="2"/>
  <c r="F85" i="2"/>
  <c r="F79" i="2"/>
  <c r="F76" i="2"/>
  <c r="F77" i="2"/>
  <c r="F71" i="2"/>
  <c r="F72" i="2"/>
  <c r="F67" i="2"/>
  <c r="F66" i="2"/>
  <c r="F57" i="2"/>
  <c r="F56" i="2"/>
  <c r="F54" i="2"/>
  <c r="F51" i="2"/>
  <c r="F52" i="2"/>
  <c r="F49" i="2"/>
  <c r="F46" i="2"/>
  <c r="E41" i="2"/>
  <c r="G42" i="2"/>
  <c r="F41" i="2"/>
  <c r="F39" i="2"/>
  <c r="E39" i="2"/>
  <c r="D39" i="2"/>
  <c r="D90" i="2" s="1"/>
  <c r="C39" i="2"/>
  <c r="C90" i="2" s="1"/>
  <c r="B39" i="2"/>
  <c r="B90" i="2" s="1"/>
  <c r="Q38" i="2"/>
  <c r="P38" i="2"/>
  <c r="N38" i="2"/>
  <c r="M38" i="2"/>
  <c r="L38" i="2"/>
  <c r="G38" i="2"/>
  <c r="F38" i="2"/>
  <c r="K38" i="2" s="1"/>
  <c r="E38" i="2"/>
  <c r="Q37" i="2"/>
  <c r="P37" i="2"/>
  <c r="O37" i="2"/>
  <c r="N37" i="2"/>
  <c r="M37" i="2"/>
  <c r="L37" i="2"/>
  <c r="H54" i="1" l="1"/>
  <c r="H53" i="1"/>
  <c r="L18" i="1"/>
  <c r="J20" i="1"/>
  <c r="E90" i="2"/>
  <c r="F90" i="2"/>
  <c r="H90" i="2" s="1"/>
  <c r="H50" i="1" s="1"/>
  <c r="M103" i="2"/>
  <c r="N103" i="2" s="1"/>
  <c r="M98" i="2"/>
  <c r="N98" i="2" s="1"/>
  <c r="M105" i="2"/>
  <c r="N105" i="2" s="1"/>
  <c r="M102" i="2"/>
  <c r="N102" i="2" s="1"/>
  <c r="M100" i="2"/>
  <c r="N100" i="2" s="1"/>
  <c r="M104" i="2"/>
  <c r="N104" i="2" s="1"/>
  <c r="M101" i="2"/>
  <c r="N101" i="2" s="1"/>
  <c r="M99" i="2"/>
  <c r="N99" i="2" s="1"/>
  <c r="L75" i="2"/>
  <c r="P81" i="2"/>
  <c r="P79" i="2"/>
  <c r="P78" i="2"/>
  <c r="P80" i="2"/>
  <c r="P82" i="2"/>
  <c r="P77" i="2"/>
  <c r="P75" i="2"/>
  <c r="P76" i="2"/>
  <c r="K37" i="2"/>
  <c r="L67" i="2"/>
  <c r="L65" i="2"/>
  <c r="L95" i="2"/>
  <c r="L93" i="2"/>
  <c r="L91" i="2"/>
  <c r="L89" i="2"/>
  <c r="L88" i="2"/>
  <c r="L82" i="2"/>
  <c r="L85" i="2"/>
  <c r="L94" i="2"/>
  <c r="L92" i="2"/>
  <c r="L90" i="2"/>
  <c r="L81" i="2"/>
  <c r="L79" i="2"/>
  <c r="L80" i="2"/>
  <c r="L78" i="2"/>
  <c r="L77" i="2"/>
  <c r="L72" i="2"/>
  <c r="P72" i="2" s="1"/>
  <c r="L70" i="2"/>
  <c r="P70" i="2" s="1"/>
  <c r="L71" i="2"/>
  <c r="L69" i="2"/>
  <c r="L66" i="2"/>
  <c r="P66" i="2" s="1"/>
  <c r="L68" i="2"/>
  <c r="M53" i="2"/>
  <c r="M51" i="2"/>
  <c r="M52" i="2"/>
  <c r="M50" i="2"/>
  <c r="M49" i="2"/>
  <c r="M48" i="2"/>
  <c r="M62" i="2"/>
  <c r="M61" i="2"/>
  <c r="M59" i="2"/>
  <c r="N59" i="2" s="1"/>
  <c r="M57" i="2"/>
  <c r="M60" i="2"/>
  <c r="N60" i="2" s="1"/>
  <c r="M58" i="2"/>
  <c r="N58" i="2" s="1"/>
  <c r="M56" i="2"/>
  <c r="L76" i="2"/>
  <c r="M54" i="2"/>
  <c r="N54" i="2" s="1"/>
  <c r="E69" i="2"/>
  <c r="H69" i="2" s="1"/>
  <c r="E68" i="2"/>
  <c r="H68" i="2" s="1"/>
  <c r="F69" i="2"/>
  <c r="F68" i="2"/>
  <c r="C82" i="2"/>
  <c r="C77" i="2"/>
  <c r="C75" i="2"/>
  <c r="C74" i="2"/>
  <c r="C73" i="2"/>
  <c r="C70" i="2"/>
  <c r="C63" i="2"/>
  <c r="C69" i="2"/>
  <c r="C68" i="2"/>
  <c r="C53" i="2"/>
  <c r="C58" i="2"/>
  <c r="C50" i="2"/>
  <c r="C47" i="2"/>
  <c r="M44" i="2"/>
  <c r="N44" i="2" s="1"/>
  <c r="C91" i="2" s="1"/>
  <c r="E82" i="2"/>
  <c r="E73" i="2"/>
  <c r="E70" i="2"/>
  <c r="E53" i="2"/>
  <c r="E58" i="2"/>
  <c r="E50" i="2"/>
  <c r="M46" i="2"/>
  <c r="H46" i="2"/>
  <c r="H55" i="2"/>
  <c r="H71" i="2"/>
  <c r="H76" i="2"/>
  <c r="B82" i="2"/>
  <c r="B75" i="2"/>
  <c r="B77" i="2"/>
  <c r="B74" i="2"/>
  <c r="B69" i="2"/>
  <c r="B70" i="2"/>
  <c r="B63" i="2"/>
  <c r="B58" i="2"/>
  <c r="B53" i="2"/>
  <c r="B50" i="2"/>
  <c r="B47" i="2"/>
  <c r="M43" i="2"/>
  <c r="N43" i="2" s="1"/>
  <c r="D82" i="2"/>
  <c r="D75" i="2"/>
  <c r="D77" i="2"/>
  <c r="D74" i="2"/>
  <c r="D73" i="2"/>
  <c r="D70" i="2"/>
  <c r="D69" i="2"/>
  <c r="D68" i="2"/>
  <c r="D63" i="2"/>
  <c r="D58" i="2"/>
  <c r="D53" i="2"/>
  <c r="D50" i="2"/>
  <c r="D47" i="2"/>
  <c r="M45" i="2"/>
  <c r="N45" i="2" s="1"/>
  <c r="D91" i="2" s="1"/>
  <c r="F82" i="2"/>
  <c r="F73" i="2"/>
  <c r="F70" i="2"/>
  <c r="F58" i="2"/>
  <c r="F53" i="2"/>
  <c r="F50" i="2"/>
  <c r="M47" i="2"/>
  <c r="H52" i="2"/>
  <c r="H51" i="2"/>
  <c r="H54" i="2"/>
  <c r="H49" i="2"/>
  <c r="H79" i="2"/>
  <c r="H85" i="2"/>
  <c r="H66" i="2"/>
  <c r="N53" i="2" l="1"/>
  <c r="P95" i="2"/>
  <c r="B62" i="2"/>
  <c r="B91" i="2"/>
  <c r="Q76" i="2"/>
  <c r="F87" i="2" s="1"/>
  <c r="O98" i="2"/>
  <c r="E74" i="2" s="1"/>
  <c r="O99" i="2"/>
  <c r="F74" i="2" s="1"/>
  <c r="Q75" i="2"/>
  <c r="E87" i="2" s="1"/>
  <c r="M75" i="2"/>
  <c r="M65" i="2"/>
  <c r="M66" i="2"/>
  <c r="M88" i="2"/>
  <c r="M89" i="2" s="1"/>
  <c r="D83" i="2"/>
  <c r="D87" i="2"/>
  <c r="D86" i="2"/>
  <c r="D84" i="2"/>
  <c r="D80" i="2"/>
  <c r="D72" i="2"/>
  <c r="D62" i="2"/>
  <c r="D57" i="2"/>
  <c r="D56" i="2"/>
  <c r="D48" i="2"/>
  <c r="B83" i="2"/>
  <c r="B87" i="2"/>
  <c r="B86" i="2"/>
  <c r="B84" i="2"/>
  <c r="B80" i="2"/>
  <c r="B72" i="2"/>
  <c r="B57" i="2"/>
  <c r="B56" i="2"/>
  <c r="B48" i="2"/>
  <c r="N49" i="2"/>
  <c r="P94" i="2" s="1"/>
  <c r="Q94" i="2" s="1"/>
  <c r="H50" i="2"/>
  <c r="N57" i="2"/>
  <c r="H58" i="2"/>
  <c r="H70" i="2"/>
  <c r="H73" i="2"/>
  <c r="N46" i="2"/>
  <c r="P88" i="2" s="1"/>
  <c r="H47" i="2"/>
  <c r="N52" i="2"/>
  <c r="P93" i="2" s="1"/>
  <c r="H53" i="2"/>
  <c r="N62" i="2"/>
  <c r="P68" i="2"/>
  <c r="C87" i="2"/>
  <c r="C86" i="2"/>
  <c r="C84" i="2"/>
  <c r="C83" i="2"/>
  <c r="C80" i="2"/>
  <c r="C72" i="2"/>
  <c r="C62" i="2"/>
  <c r="C57" i="2"/>
  <c r="C56" i="2"/>
  <c r="C48" i="2"/>
  <c r="H77" i="2"/>
  <c r="H82" i="2"/>
  <c r="J24" i="1" l="1"/>
  <c r="H56" i="2"/>
  <c r="N61" i="2"/>
  <c r="N56" i="2"/>
  <c r="H57" i="2"/>
  <c r="H72" i="2"/>
  <c r="L12" i="2" l="1"/>
  <c r="L11" i="2"/>
  <c r="L10" i="2" l="1"/>
  <c r="G6" i="2"/>
  <c r="G7" i="2" s="1"/>
  <c r="F6" i="2"/>
  <c r="F7" i="2" s="1"/>
  <c r="E6" i="2"/>
  <c r="K3" i="2" s="1"/>
  <c r="D6" i="2"/>
  <c r="C6" i="2"/>
  <c r="B6" i="2"/>
  <c r="G5" i="2"/>
  <c r="F5" i="2"/>
  <c r="E5" i="2"/>
  <c r="D5" i="2"/>
  <c r="C5" i="2"/>
  <c r="B5" i="2"/>
  <c r="M10" i="2" s="1"/>
  <c r="G4" i="2"/>
  <c r="F4" i="2"/>
  <c r="E4" i="2"/>
  <c r="L45" i="1"/>
  <c r="J45" i="1" s="1"/>
  <c r="H45" i="1" s="1"/>
  <c r="L44" i="1"/>
  <c r="J44" i="1"/>
  <c r="H44" i="1" s="1"/>
  <c r="L43" i="1" s="1"/>
  <c r="J43" i="1" s="1"/>
  <c r="H43" i="1"/>
  <c r="L42" i="1"/>
  <c r="J42" i="1" s="1"/>
  <c r="L25" i="1"/>
  <c r="J25" i="1" s="1"/>
  <c r="H25" i="1" s="1"/>
  <c r="L24" i="1"/>
  <c r="J23" i="1"/>
  <c r="L22" i="1"/>
  <c r="J22" i="1" s="1"/>
  <c r="J21" i="1"/>
  <c r="H21" i="1" s="1"/>
  <c r="L19" i="1"/>
  <c r="J19" i="1" s="1"/>
  <c r="H19" i="1" s="1"/>
  <c r="F12" i="2" l="1"/>
  <c r="E12" i="2"/>
  <c r="L20" i="1"/>
  <c r="H20" i="1"/>
  <c r="M21" i="2"/>
  <c r="N21" i="2" s="1"/>
  <c r="M22" i="2"/>
  <c r="N22" i="2" s="1"/>
  <c r="M20" i="2"/>
  <c r="N20" i="2" s="1"/>
  <c r="M19" i="2"/>
  <c r="N19" i="2" s="1"/>
  <c r="M18" i="2"/>
  <c r="N18" i="2" s="1"/>
  <c r="M17" i="2"/>
  <c r="N17" i="2" s="1"/>
  <c r="M15" i="2"/>
  <c r="N15" i="2" s="1"/>
  <c r="M16" i="2"/>
  <c r="N16" i="2" s="1"/>
  <c r="M31" i="2"/>
  <c r="N31" i="2" s="1"/>
  <c r="M29" i="2"/>
  <c r="N29" i="2" s="1"/>
  <c r="M26" i="2"/>
  <c r="N26" i="2" s="1"/>
  <c r="M23" i="2"/>
  <c r="N23" i="2" s="1"/>
  <c r="M30" i="2"/>
  <c r="N30" i="2" s="1"/>
  <c r="M27" i="2"/>
  <c r="N27" i="2" s="1"/>
  <c r="M25" i="2"/>
  <c r="N25" i="2" s="1"/>
  <c r="J18" i="1"/>
  <c r="H18" i="1" s="1"/>
  <c r="C17" i="2"/>
  <c r="C12" i="2"/>
  <c r="M11" i="2"/>
  <c r="E22" i="2"/>
  <c r="D22" i="2" s="1"/>
  <c r="C22" i="2" s="1"/>
  <c r="B22" i="2" s="1"/>
  <c r="E17" i="2"/>
  <c r="M13" i="2"/>
  <c r="N13" i="2" s="1"/>
  <c r="C19" i="2"/>
  <c r="C14" i="2"/>
  <c r="C18" i="2"/>
  <c r="C16" i="2"/>
  <c r="C15" i="2"/>
  <c r="E21" i="2"/>
  <c r="E19" i="2"/>
  <c r="E14" i="2"/>
  <c r="E18" i="2"/>
  <c r="E16" i="2"/>
  <c r="E15" i="2"/>
  <c r="G8" i="2"/>
  <c r="C11" i="2"/>
  <c r="E11" i="2"/>
  <c r="B17" i="2"/>
  <c r="B12" i="2"/>
  <c r="D17" i="2"/>
  <c r="M12" i="2"/>
  <c r="D12" i="2"/>
  <c r="F17" i="2"/>
  <c r="M14" i="2"/>
  <c r="B19" i="2"/>
  <c r="B18" i="2"/>
  <c r="B16" i="2"/>
  <c r="B15" i="2"/>
  <c r="B14" i="2"/>
  <c r="D19" i="2"/>
  <c r="D18" i="2"/>
  <c r="D16" i="2"/>
  <c r="D15" i="2"/>
  <c r="D14" i="2"/>
  <c r="F21" i="2"/>
  <c r="F18" i="2"/>
  <c r="F16" i="2"/>
  <c r="F15" i="2"/>
  <c r="F14" i="2"/>
  <c r="E7" i="2"/>
  <c r="B11" i="2"/>
  <c r="D11" i="2"/>
  <c r="F11" i="2"/>
  <c r="N10" i="2" l="1"/>
  <c r="H11" i="2"/>
  <c r="N11" i="2"/>
  <c r="H12" i="2"/>
  <c r="H3" i="1" s="1"/>
  <c r="H14" i="2"/>
  <c r="H5" i="1" s="1"/>
  <c r="H19" i="2"/>
  <c r="H16" i="2"/>
  <c r="H15" i="2"/>
  <c r="H6" i="1" s="1"/>
  <c r="E13" i="2"/>
  <c r="H18" i="2"/>
  <c r="H7" i="1" s="1"/>
  <c r="H17" i="2"/>
  <c r="C21" i="2" l="1"/>
  <c r="C13" i="2"/>
  <c r="B21" i="2"/>
  <c r="B13" i="2"/>
  <c r="J5" i="1"/>
  <c r="L6" i="1"/>
  <c r="L5" i="1" s="1"/>
  <c r="N12" i="2" l="1"/>
  <c r="D21" i="2" l="1"/>
  <c r="H21" i="2" s="1"/>
  <c r="H8" i="1" s="1"/>
  <c r="D13" i="2"/>
  <c r="N14" i="2"/>
  <c r="F13" i="2" s="1"/>
  <c r="B20" i="2"/>
  <c r="C20" i="2"/>
  <c r="D20" i="2"/>
  <c r="E20" i="2"/>
  <c r="F20" i="2"/>
  <c r="L4" i="1"/>
  <c r="J4" i="1"/>
  <c r="L3" i="1"/>
  <c r="F22" i="2"/>
  <c r="H22" i="2" s="1"/>
  <c r="M24" i="2"/>
  <c r="N24" i="2" s="1"/>
  <c r="M28" i="2"/>
  <c r="N28" i="2" s="1"/>
  <c r="H46" i="1"/>
  <c r="H36" i="1" s="1"/>
  <c r="L23" i="1"/>
  <c r="E75" i="2"/>
  <c r="F75" i="2"/>
  <c r="N47" i="2"/>
  <c r="P90" i="2" s="1"/>
  <c r="N48" i="2"/>
  <c r="P92" i="2" s="1"/>
  <c r="Q92" i="2" s="1"/>
  <c r="N50" i="2"/>
  <c r="P89" i="2" s="1"/>
  <c r="Q88" i="2" s="1"/>
  <c r="N51" i="2"/>
  <c r="P91" i="2" s="1"/>
  <c r="L41" i="1"/>
  <c r="H41" i="1"/>
  <c r="J40" i="1" s="1"/>
  <c r="L40" i="1" s="1"/>
  <c r="H40" i="1"/>
  <c r="P65" i="2"/>
  <c r="Q65" i="2" s="1"/>
  <c r="P67" i="2"/>
  <c r="Q67" i="2" s="1"/>
  <c r="P69" i="2"/>
  <c r="Q69" i="2" s="1"/>
  <c r="P71" i="2"/>
  <c r="Q71" i="2" s="1"/>
  <c r="E62" i="2"/>
  <c r="H62" i="2" s="1"/>
  <c r="E63" i="2"/>
  <c r="F63" i="2"/>
  <c r="E86" i="2"/>
  <c r="F86" i="2"/>
  <c r="H31" i="1"/>
  <c r="E84" i="2"/>
  <c r="F84" i="2"/>
  <c r="H28" i="1"/>
  <c r="J28" i="1" s="1"/>
  <c r="F81" i="2"/>
  <c r="H81" i="2" s="1"/>
  <c r="J27" i="1" s="1"/>
  <c r="M55" i="2"/>
  <c r="N55" i="2" s="1"/>
  <c r="L26" i="1"/>
  <c r="L46" i="1"/>
  <c r="Q90" i="2" l="1"/>
  <c r="R88" i="2" s="1"/>
  <c r="L8" i="1"/>
  <c r="H63" i="2"/>
  <c r="H35" i="1" s="1"/>
  <c r="J35" i="1"/>
  <c r="H75" i="2"/>
  <c r="H84" i="2"/>
  <c r="J30" i="1" s="1"/>
  <c r="H30" i="1" s="1"/>
  <c r="L27" i="1"/>
  <c r="H87" i="2"/>
  <c r="H32" i="1" s="1"/>
  <c r="J32" i="1" s="1"/>
  <c r="O48" i="2"/>
  <c r="F92" i="2" s="1"/>
  <c r="H20" i="2"/>
  <c r="H86" i="2"/>
  <c r="J31" i="1" s="1"/>
  <c r="L29" i="1" s="1"/>
  <c r="O47" i="2"/>
  <c r="E92" i="2" s="1"/>
  <c r="L28" i="1"/>
  <c r="R65" i="2"/>
  <c r="M67" i="2" s="1"/>
  <c r="H61" i="2" s="1"/>
  <c r="L35" i="1" s="1"/>
  <c r="L47" i="1"/>
  <c r="H13" i="2"/>
  <c r="H4" i="1" s="1"/>
  <c r="O50" i="2"/>
  <c r="E80" i="2" s="1"/>
  <c r="O51" i="2"/>
  <c r="F80" i="2" s="1"/>
  <c r="P15" i="2"/>
  <c r="P14" i="2"/>
  <c r="L36" i="1"/>
  <c r="H26" i="1"/>
  <c r="O14" i="2"/>
  <c r="O15" i="2"/>
  <c r="J3" i="1"/>
  <c r="F48" i="2" l="1"/>
  <c r="F91" i="2"/>
  <c r="E48" i="2"/>
  <c r="E91" i="2"/>
  <c r="H91" i="2" s="1"/>
  <c r="H51" i="1" s="1"/>
  <c r="H22" i="1"/>
  <c r="H23" i="1" s="1"/>
  <c r="L9" i="1"/>
  <c r="J6" i="1"/>
  <c r="L37" i="1"/>
  <c r="L21" i="1"/>
  <c r="J26" i="1"/>
  <c r="H24" i="1"/>
  <c r="F83" i="2"/>
  <c r="H48" i="2"/>
  <c r="J41" i="1" s="1"/>
  <c r="H42" i="1" s="1"/>
  <c r="E83" i="2"/>
  <c r="H80" i="2"/>
  <c r="H27" i="1" s="1"/>
  <c r="H92" i="2" l="1"/>
  <c r="H52" i="1" s="1"/>
  <c r="L7" i="1"/>
  <c r="H83" i="2"/>
  <c r="H29" i="1" s="1"/>
  <c r="J29" i="1" l="1"/>
</calcChain>
</file>

<file path=xl/sharedStrings.xml><?xml version="1.0" encoding="utf-8"?>
<sst xmlns="http://schemas.openxmlformats.org/spreadsheetml/2006/main" count="560" uniqueCount="328">
  <si>
    <t>탐1</t>
    <phoneticPr fontId="1" type="noConversion"/>
  </si>
  <si>
    <t>탐2</t>
    <phoneticPr fontId="1" type="noConversion"/>
  </si>
  <si>
    <t>제2</t>
    <phoneticPr fontId="1" type="noConversion"/>
  </si>
  <si>
    <t>표점</t>
    <phoneticPr fontId="1" type="noConversion"/>
  </si>
  <si>
    <t>백분위</t>
    <phoneticPr fontId="1" type="noConversion"/>
  </si>
  <si>
    <t>국B</t>
    <phoneticPr fontId="1" type="noConversion"/>
  </si>
  <si>
    <t>수A</t>
    <phoneticPr fontId="1" type="noConversion"/>
  </si>
  <si>
    <t>영B</t>
    <phoneticPr fontId="1" type="noConversion"/>
  </si>
  <si>
    <t>과학탐구</t>
  </si>
  <si>
    <t>사회탐구</t>
  </si>
  <si>
    <t>경희대(한)</t>
    <phoneticPr fontId="1" type="noConversion"/>
  </si>
  <si>
    <t>변표사탐</t>
    <phoneticPr fontId="1" type="noConversion"/>
  </si>
  <si>
    <t>제2외국어</t>
  </si>
  <si>
    <t>변표제2</t>
    <phoneticPr fontId="1" type="noConversion"/>
  </si>
  <si>
    <t>변환점수</t>
    <phoneticPr fontId="1" type="noConversion"/>
  </si>
  <si>
    <t>대구한의대(한)</t>
  </si>
  <si>
    <t>대구한의대(한)</t>
    <phoneticPr fontId="1" type="noConversion"/>
  </si>
  <si>
    <t>대전대(한)</t>
  </si>
  <si>
    <t>대전대(한)</t>
    <phoneticPr fontId="1" type="noConversion"/>
  </si>
  <si>
    <t>동신대(한)</t>
  </si>
  <si>
    <t>동의대(한)</t>
  </si>
  <si>
    <t>세명대(한)</t>
  </si>
  <si>
    <t>세명대(한)</t>
    <phoneticPr fontId="1" type="noConversion"/>
  </si>
  <si>
    <t>우석대(한)</t>
  </si>
  <si>
    <t>우석대(한)</t>
    <phoneticPr fontId="1" type="noConversion"/>
  </si>
  <si>
    <t>원광대(치/한)</t>
    <phoneticPr fontId="1" type="noConversion"/>
  </si>
  <si>
    <t>상지대(한)</t>
  </si>
  <si>
    <t>상지대(한)</t>
    <phoneticPr fontId="1" type="noConversion"/>
  </si>
  <si>
    <t>가천대(한)</t>
  </si>
  <si>
    <t>가천대(한)</t>
    <phoneticPr fontId="1" type="noConversion"/>
  </si>
  <si>
    <t>원광대(치)</t>
  </si>
  <si>
    <t>원광대(한)</t>
  </si>
  <si>
    <t>활용</t>
    <phoneticPr fontId="1" type="noConversion"/>
  </si>
  <si>
    <t>백</t>
    <phoneticPr fontId="1" type="noConversion"/>
  </si>
  <si>
    <t>표+백</t>
    <phoneticPr fontId="1" type="noConversion"/>
  </si>
  <si>
    <t>국어B</t>
    <phoneticPr fontId="4" type="noConversion"/>
  </si>
  <si>
    <t>과목</t>
  </si>
  <si>
    <t>생윤</t>
    <phoneticPr fontId="1" type="noConversion"/>
  </si>
  <si>
    <t>윤사</t>
    <phoneticPr fontId="1" type="noConversion"/>
  </si>
  <si>
    <t>한국사</t>
    <phoneticPr fontId="1" type="noConversion"/>
  </si>
  <si>
    <t>한지</t>
    <phoneticPr fontId="1" type="noConversion"/>
  </si>
  <si>
    <t>세지</t>
    <phoneticPr fontId="1" type="noConversion"/>
  </si>
  <si>
    <t>동사</t>
    <phoneticPr fontId="1" type="noConversion"/>
  </si>
  <si>
    <t>세계사</t>
    <phoneticPr fontId="1" type="noConversion"/>
  </si>
  <si>
    <t>법정</t>
    <phoneticPr fontId="1" type="noConversion"/>
  </si>
  <si>
    <t>경제</t>
    <phoneticPr fontId="1" type="noConversion"/>
  </si>
  <si>
    <t>사문</t>
    <phoneticPr fontId="1" type="noConversion"/>
  </si>
  <si>
    <t>독일어</t>
  </si>
  <si>
    <t>프랑스</t>
  </si>
  <si>
    <t>스페인</t>
  </si>
  <si>
    <t>중국어</t>
  </si>
  <si>
    <t>일본어</t>
  </si>
  <si>
    <t>러시아</t>
  </si>
  <si>
    <t>아랍어</t>
  </si>
  <si>
    <t>베트남</t>
    <phoneticPr fontId="1" type="noConversion"/>
  </si>
  <si>
    <t>한문</t>
    <phoneticPr fontId="1" type="noConversion"/>
  </si>
  <si>
    <t>수학A</t>
    <phoneticPr fontId="4" type="noConversion"/>
  </si>
  <si>
    <t>영어B</t>
    <phoneticPr fontId="4" type="noConversion"/>
  </si>
  <si>
    <t>표+백</t>
    <phoneticPr fontId="1" type="noConversion"/>
  </si>
  <si>
    <t>표</t>
    <phoneticPr fontId="1" type="noConversion"/>
  </si>
  <si>
    <t>사탐1,2</t>
    <phoneticPr fontId="1" type="noConversion"/>
  </si>
  <si>
    <t>전체1,2</t>
    <phoneticPr fontId="1" type="noConversion"/>
  </si>
  <si>
    <t>동의대(한)</t>
    <phoneticPr fontId="1" type="noConversion"/>
  </si>
  <si>
    <t>동신대(한)-가</t>
    <phoneticPr fontId="1" type="noConversion"/>
  </si>
  <si>
    <t>동신대(한)-다</t>
    <phoneticPr fontId="1" type="noConversion"/>
  </si>
  <si>
    <t>백</t>
    <phoneticPr fontId="1" type="noConversion"/>
  </si>
  <si>
    <t>물리1</t>
    <phoneticPr fontId="1" type="noConversion"/>
  </si>
  <si>
    <t>화학1</t>
    <phoneticPr fontId="1" type="noConversion"/>
  </si>
  <si>
    <t>지학1</t>
    <phoneticPr fontId="1" type="noConversion"/>
  </si>
  <si>
    <t>물리2</t>
    <phoneticPr fontId="1" type="noConversion"/>
  </si>
  <si>
    <t>화학2</t>
    <phoneticPr fontId="1" type="noConversion"/>
  </si>
  <si>
    <t>지학2</t>
    <phoneticPr fontId="1" type="noConversion"/>
  </si>
  <si>
    <t>국A</t>
    <phoneticPr fontId="1" type="noConversion"/>
  </si>
  <si>
    <t>수B</t>
    <phoneticPr fontId="1" type="noConversion"/>
  </si>
  <si>
    <t>국어A</t>
    <phoneticPr fontId="4" type="noConversion"/>
  </si>
  <si>
    <t>수학B</t>
    <phoneticPr fontId="4" type="noConversion"/>
  </si>
  <si>
    <t>과탐1,2</t>
    <phoneticPr fontId="1" type="noConversion"/>
  </si>
  <si>
    <t>건양대(2단계)</t>
  </si>
  <si>
    <t>[ 의예과 가군 ]</t>
  </si>
  <si>
    <t>[ 의예과 나군 ]</t>
  </si>
  <si>
    <t>[ 의예과 다군 ]</t>
  </si>
  <si>
    <t>고려대(우선)</t>
  </si>
  <si>
    <t>건양대(1단계)</t>
  </si>
  <si>
    <t>계명대</t>
  </si>
  <si>
    <t>고려대(일반)</t>
  </si>
  <si>
    <t>고신대</t>
  </si>
  <si>
    <t>관동대</t>
  </si>
  <si>
    <t>동아대</t>
  </si>
  <si>
    <t>단국대</t>
  </si>
  <si>
    <t>대구가톨릭대</t>
  </si>
  <si>
    <t>성균관대</t>
  </si>
  <si>
    <t>연세대(신촌/원주)</t>
  </si>
  <si>
    <t>순천향대</t>
  </si>
  <si>
    <t>영남대</t>
  </si>
  <si>
    <t>서울대</t>
  </si>
  <si>
    <t>아주대(1단계)</t>
  </si>
  <si>
    <t>원광대</t>
  </si>
  <si>
    <t>아주대(2단계)</t>
  </si>
  <si>
    <t>울산대</t>
  </si>
  <si>
    <t>연세대(원주)</t>
  </si>
  <si>
    <t>인제대</t>
  </si>
  <si>
    <t>을지대</t>
  </si>
  <si>
    <t>전남대</t>
  </si>
  <si>
    <t>중앙대</t>
  </si>
  <si>
    <t>한림대</t>
  </si>
  <si>
    <t>충북대</t>
  </si>
  <si>
    <t>한양대</t>
  </si>
  <si>
    <t>[ 치의예과 가군 ]</t>
  </si>
  <si>
    <t>[ 치의예과 나군 ]</t>
  </si>
  <si>
    <t>[ 치의예과 다군 ]</t>
  </si>
  <si>
    <t>연세대</t>
  </si>
  <si>
    <t>강릉원주대</t>
  </si>
  <si>
    <t>[ 한의예과 가군 ]</t>
  </si>
  <si>
    <t>[ 한의예과 나군 ]</t>
  </si>
  <si>
    <t>[ 한의예과 다군 ]</t>
  </si>
  <si>
    <t>가천대</t>
  </si>
  <si>
    <t>경희대</t>
  </si>
  <si>
    <t>대구한의대</t>
  </si>
  <si>
    <t>대전대</t>
  </si>
  <si>
    <t>동국대</t>
  </si>
  <si>
    <t>동의대</t>
  </si>
  <si>
    <t>동신대</t>
  </si>
  <si>
    <t>세명대</t>
  </si>
  <si>
    <t>상지대</t>
  </si>
  <si>
    <t>우석대</t>
  </si>
  <si>
    <t>한의예과</t>
    <phoneticPr fontId="1" type="noConversion"/>
  </si>
  <si>
    <t>국A</t>
    <phoneticPr fontId="1" type="noConversion"/>
  </si>
  <si>
    <t>수B</t>
    <phoneticPr fontId="1" type="noConversion"/>
  </si>
  <si>
    <t>생명2</t>
    <phoneticPr fontId="1" type="noConversion"/>
  </si>
  <si>
    <t>생명1</t>
    <phoneticPr fontId="1" type="noConversion"/>
  </si>
  <si>
    <t>동국대(한)</t>
    <phoneticPr fontId="1" type="noConversion"/>
  </si>
  <si>
    <t>우석대(한)-나</t>
    <phoneticPr fontId="1" type="noConversion"/>
  </si>
  <si>
    <t>우석대(한)-다</t>
    <phoneticPr fontId="1" type="noConversion"/>
  </si>
  <si>
    <t>원광대(의/치/한)</t>
    <phoneticPr fontId="1" type="noConversion"/>
  </si>
  <si>
    <t>치의예과</t>
    <phoneticPr fontId="1" type="noConversion"/>
  </si>
  <si>
    <t>강릉원주대(치)</t>
    <phoneticPr fontId="1" type="noConversion"/>
  </si>
  <si>
    <t>연세대(의/치)</t>
    <phoneticPr fontId="1" type="noConversion"/>
  </si>
  <si>
    <t>강릉원주대(치)</t>
    <phoneticPr fontId="1" type="noConversion"/>
  </si>
  <si>
    <t>물리2</t>
    <phoneticPr fontId="1" type="noConversion"/>
  </si>
  <si>
    <t>화학1</t>
    <phoneticPr fontId="1" type="noConversion"/>
  </si>
  <si>
    <t>화학2</t>
    <phoneticPr fontId="1" type="noConversion"/>
  </si>
  <si>
    <t>백</t>
    <phoneticPr fontId="1" type="noConversion"/>
  </si>
  <si>
    <t>단국대</t>
    <phoneticPr fontId="1" type="noConversion"/>
  </si>
  <si>
    <t>표+백</t>
    <phoneticPr fontId="1" type="noConversion"/>
  </si>
  <si>
    <t>변표일반과탐</t>
    <phoneticPr fontId="1" type="noConversion"/>
  </si>
  <si>
    <t>변표</t>
    <phoneticPr fontId="1" type="noConversion"/>
  </si>
  <si>
    <t>연대</t>
    <phoneticPr fontId="1" type="noConversion"/>
  </si>
  <si>
    <t>고대</t>
    <phoneticPr fontId="1" type="noConversion"/>
  </si>
  <si>
    <t>한대</t>
    <phoneticPr fontId="1" type="noConversion"/>
  </si>
  <si>
    <t>중대</t>
    <phoneticPr fontId="1" type="noConversion"/>
  </si>
  <si>
    <t>성대</t>
    <phoneticPr fontId="1" type="noConversion"/>
  </si>
  <si>
    <t>의예과</t>
    <phoneticPr fontId="1" type="noConversion"/>
  </si>
  <si>
    <t>백</t>
    <phoneticPr fontId="1" type="noConversion"/>
  </si>
  <si>
    <t>동아대</t>
    <phoneticPr fontId="1" type="noConversion"/>
  </si>
  <si>
    <t>가산점</t>
    <phoneticPr fontId="1" type="noConversion"/>
  </si>
  <si>
    <t>표</t>
    <phoneticPr fontId="1" type="noConversion"/>
  </si>
  <si>
    <t>표+백</t>
    <phoneticPr fontId="1" type="noConversion"/>
  </si>
  <si>
    <t>백</t>
    <phoneticPr fontId="1" type="noConversion"/>
  </si>
  <si>
    <t>울산대(의)</t>
    <phoneticPr fontId="1" type="noConversion"/>
  </si>
  <si>
    <t>표</t>
    <phoneticPr fontId="1" type="noConversion"/>
  </si>
  <si>
    <t>한(확정)</t>
    <phoneticPr fontId="1" type="noConversion"/>
  </si>
  <si>
    <t>순천향대(의)</t>
    <phoneticPr fontId="1" type="noConversion"/>
  </si>
  <si>
    <t>최고표점</t>
    <phoneticPr fontId="1" type="noConversion"/>
  </si>
  <si>
    <t>한림</t>
    <phoneticPr fontId="1" type="noConversion"/>
  </si>
  <si>
    <t>*건양대(의)</t>
    <phoneticPr fontId="1" type="noConversion"/>
  </si>
  <si>
    <t>*관동대(의)</t>
    <phoneticPr fontId="1" type="noConversion"/>
  </si>
  <si>
    <t>*단국대(의/치)</t>
    <phoneticPr fontId="1" type="noConversion"/>
  </si>
  <si>
    <t>*동신대</t>
    <phoneticPr fontId="1" type="noConversion"/>
  </si>
  <si>
    <t>*상지대</t>
    <phoneticPr fontId="1" type="noConversion"/>
  </si>
  <si>
    <t>*세명대</t>
    <phoneticPr fontId="1" type="noConversion"/>
  </si>
  <si>
    <t>*울산대(의)</t>
    <phoneticPr fontId="1" type="noConversion"/>
  </si>
  <si>
    <t>*을지대(의)</t>
    <phoneticPr fontId="1" type="noConversion"/>
  </si>
  <si>
    <t>: [국어B-10%], [수학B-20%], [영어B-15%], [과탐-5%] 가산점</t>
    <phoneticPr fontId="1" type="noConversion"/>
  </si>
  <si>
    <t>: 탐구 1과목 반영</t>
    <phoneticPr fontId="1" type="noConversion"/>
  </si>
  <si>
    <t>: B형2과목 + 사/과탐 필수 = BAB사탐도 지원가능</t>
    <phoneticPr fontId="1" type="noConversion"/>
  </si>
  <si>
    <t xml:space="preserve">  수B &amp; 과탐 가산점 10%</t>
    <phoneticPr fontId="1" type="noConversion"/>
  </si>
  <si>
    <t>: 물리, 화학 중 한과목 필수 선택</t>
    <phoneticPr fontId="1" type="noConversion"/>
  </si>
  <si>
    <t>대학별 특수사항</t>
    <phoneticPr fontId="1" type="noConversion"/>
  </si>
  <si>
    <t>*강릉원주대(치)</t>
    <phoneticPr fontId="1" type="noConversion"/>
  </si>
  <si>
    <t>: 과탐 지구과학1,2반영 불가능 및, 동일과목 1,2 동시반영 불가능</t>
    <phoneticPr fontId="1" type="noConversion"/>
  </si>
  <si>
    <t>: 수B,영B,과탐 반영 및 가산점 없음</t>
    <phoneticPr fontId="1" type="noConversion"/>
  </si>
  <si>
    <t>: 수영과 반영, 수B 8% 가산점</t>
    <phoneticPr fontId="1" type="noConversion"/>
  </si>
  <si>
    <t>: [국어B-10%], [수학B-15%], [과탐-5%] 가산점</t>
    <phoneticPr fontId="1" type="noConversion"/>
  </si>
  <si>
    <t>*동아대(의)</t>
    <phoneticPr fontId="1" type="noConversion"/>
  </si>
  <si>
    <t>*순천향대(의)</t>
    <phoneticPr fontId="1" type="noConversion"/>
  </si>
  <si>
    <t>수학A</t>
    <phoneticPr fontId="1" type="noConversion"/>
  </si>
  <si>
    <t>윤사</t>
    <phoneticPr fontId="1" type="noConversion"/>
  </si>
  <si>
    <t>화학1</t>
    <phoneticPr fontId="1" type="noConversion"/>
  </si>
  <si>
    <t>영어B</t>
    <phoneticPr fontId="1" type="noConversion"/>
  </si>
  <si>
    <t>순천향대(의)</t>
    <phoneticPr fontId="1" type="noConversion"/>
  </si>
  <si>
    <t>한국사</t>
    <phoneticPr fontId="1" type="noConversion"/>
  </si>
  <si>
    <t>생명1</t>
    <phoneticPr fontId="1" type="noConversion"/>
  </si>
  <si>
    <t>탐1</t>
    <phoneticPr fontId="1" type="noConversion"/>
  </si>
  <si>
    <t>한지</t>
    <phoneticPr fontId="1" type="noConversion"/>
  </si>
  <si>
    <t>지학1</t>
    <phoneticPr fontId="1" type="noConversion"/>
  </si>
  <si>
    <t>탐2</t>
    <phoneticPr fontId="1" type="noConversion"/>
  </si>
  <si>
    <t>순천향대(의)</t>
    <phoneticPr fontId="1" type="noConversion"/>
  </si>
  <si>
    <t>세지</t>
    <phoneticPr fontId="1" type="noConversion"/>
  </si>
  <si>
    <t>물리2</t>
    <phoneticPr fontId="1" type="noConversion"/>
  </si>
  <si>
    <t>제2</t>
    <phoneticPr fontId="1" type="noConversion"/>
  </si>
  <si>
    <t>동사</t>
    <phoneticPr fontId="1" type="noConversion"/>
  </si>
  <si>
    <t>화학2</t>
    <phoneticPr fontId="1" type="noConversion"/>
  </si>
  <si>
    <t>세계사</t>
    <phoneticPr fontId="1" type="noConversion"/>
  </si>
  <si>
    <t>생명2</t>
    <phoneticPr fontId="1" type="noConversion"/>
  </si>
  <si>
    <t>법정</t>
    <phoneticPr fontId="1" type="noConversion"/>
  </si>
  <si>
    <t>지학2</t>
    <phoneticPr fontId="1" type="noConversion"/>
  </si>
  <si>
    <t>베트남</t>
    <phoneticPr fontId="1" type="noConversion"/>
  </si>
  <si>
    <t>경제</t>
    <phoneticPr fontId="1" type="noConversion"/>
  </si>
  <si>
    <t>한문</t>
    <phoneticPr fontId="1" type="noConversion"/>
  </si>
  <si>
    <t>사문</t>
    <phoneticPr fontId="1" type="noConversion"/>
  </si>
  <si>
    <t>ABB과탐</t>
    <phoneticPr fontId="1" type="noConversion"/>
  </si>
  <si>
    <t>표준점수</t>
    <phoneticPr fontId="1" type="noConversion"/>
  </si>
  <si>
    <t>백분위</t>
    <phoneticPr fontId="1" type="noConversion"/>
  </si>
  <si>
    <t>국어A</t>
    <phoneticPr fontId="1" type="noConversion"/>
  </si>
  <si>
    <t>수학B</t>
    <phoneticPr fontId="1" type="noConversion"/>
  </si>
  <si>
    <t>영어B</t>
    <phoneticPr fontId="1" type="noConversion"/>
  </si>
  <si>
    <t>탐1</t>
    <phoneticPr fontId="1" type="noConversion"/>
  </si>
  <si>
    <t>성균관대(우선)</t>
    <phoneticPr fontId="1" type="noConversion"/>
  </si>
  <si>
    <t>탐2</t>
    <phoneticPr fontId="1" type="noConversion"/>
  </si>
  <si>
    <t>제2</t>
    <phoneticPr fontId="1" type="noConversion"/>
  </si>
  <si>
    <t>BAB사탐</t>
    <phoneticPr fontId="1" type="noConversion"/>
  </si>
  <si>
    <t>[의치한]가군</t>
    <phoneticPr fontId="1" type="noConversion"/>
  </si>
  <si>
    <t>[의치한]나군</t>
    <phoneticPr fontId="1" type="noConversion"/>
  </si>
  <si>
    <t>[의치한]다군</t>
    <phoneticPr fontId="1" type="noConversion"/>
  </si>
  <si>
    <t>과학탐구</t>
    <phoneticPr fontId="4" type="noConversion"/>
  </si>
  <si>
    <t>표준점수</t>
    <phoneticPr fontId="1" type="noConversion"/>
  </si>
  <si>
    <t>백분위</t>
    <phoneticPr fontId="1" type="noConversion"/>
  </si>
  <si>
    <t>경희대(한)</t>
    <phoneticPr fontId="1" type="noConversion"/>
  </si>
  <si>
    <t>과목</t>
    <phoneticPr fontId="4" type="noConversion"/>
  </si>
  <si>
    <t>국어B</t>
    <phoneticPr fontId="1" type="noConversion"/>
  </si>
  <si>
    <t>생윤</t>
    <phoneticPr fontId="1" type="noConversion"/>
  </si>
  <si>
    <t>물리1</t>
    <phoneticPr fontId="1" type="noConversion"/>
  </si>
  <si>
    <t>주요업데이트 사안</t>
    <phoneticPr fontId="1" type="noConversion"/>
  </si>
  <si>
    <t>*한양대 및 한림대 변표 탑재</t>
    <phoneticPr fontId="1" type="noConversion"/>
  </si>
  <si>
    <t>경희대 지원자를 위한 모임-경희Holic</t>
    <phoneticPr fontId="1" type="noConversion"/>
  </si>
  <si>
    <t>*계산기 제작에 도움주신 분</t>
    <phoneticPr fontId="1" type="noConversion"/>
  </si>
  <si>
    <t>2013.12.6</t>
    <phoneticPr fontId="1" type="noConversion"/>
  </si>
  <si>
    <t>(http://cafe.daum.net/Khuholic)</t>
    <phoneticPr fontId="1" type="noConversion"/>
  </si>
  <si>
    <t>제작자 : 프리오드</t>
    <phoneticPr fontId="1" type="noConversion"/>
  </si>
  <si>
    <t>[이대 나올 여자] 카페지기
Romeo Van Montague</t>
    <phoneticPr fontId="1" type="noConversion"/>
  </si>
  <si>
    <t>: [과탐2] 선택시 가산점 5%</t>
    <phoneticPr fontId="1" type="noConversion"/>
  </si>
  <si>
    <t>: 화2,생2 선택시 가산점 표점 3점 추가반영</t>
    <phoneticPr fontId="1" type="noConversion"/>
  </si>
  <si>
    <t>2013.12.7</t>
    <phoneticPr fontId="1" type="noConversion"/>
  </si>
  <si>
    <t>*연세대 의예 점수 오류 수정</t>
    <phoneticPr fontId="1" type="noConversion"/>
  </si>
  <si>
    <t>2013.12.9</t>
    <phoneticPr fontId="1" type="noConversion"/>
  </si>
  <si>
    <t>*경희대 인문 다군 삭제 + 한양대 과탐2반영 + 단국대수정</t>
    <phoneticPr fontId="1" type="noConversion"/>
  </si>
  <si>
    <t>단국대(의/치)</t>
    <phoneticPr fontId="1" type="noConversion"/>
  </si>
  <si>
    <t>한양대</t>
    <phoneticPr fontId="1" type="noConversion"/>
  </si>
  <si>
    <t>*계산기 수정작업에 도움주신 분</t>
    <phoneticPr fontId="1" type="noConversion"/>
  </si>
  <si>
    <t>[Orbi] 동하아빠님</t>
    <phoneticPr fontId="1" type="noConversion"/>
  </si>
  <si>
    <t>[Orbi] 족제비님</t>
    <phoneticPr fontId="1" type="noConversion"/>
  </si>
  <si>
    <t>[Orbi] 화끈하게연대님</t>
    <phoneticPr fontId="1" type="noConversion"/>
  </si>
  <si>
    <t>[Orbi] 댓군님</t>
    <phoneticPr fontId="1" type="noConversion"/>
  </si>
  <si>
    <t>*한양대(의)</t>
    <phoneticPr fontId="1" type="noConversion"/>
  </si>
  <si>
    <t>화학 I</t>
    <phoneticPr fontId="34" type="noConversion"/>
  </si>
  <si>
    <t>생명 과학 I</t>
    <phoneticPr fontId="34" type="noConversion"/>
  </si>
  <si>
    <t>지구 과학 I</t>
    <phoneticPr fontId="34" type="noConversion"/>
  </si>
  <si>
    <t>물리 II</t>
    <phoneticPr fontId="34" type="noConversion"/>
  </si>
  <si>
    <t>화학 II</t>
    <phoneticPr fontId="34" type="noConversion"/>
  </si>
  <si>
    <t>생명 과학 II</t>
    <phoneticPr fontId="34" type="noConversion"/>
  </si>
  <si>
    <t>지구 과학 II</t>
    <phoneticPr fontId="34" type="noConversion"/>
  </si>
  <si>
    <t>표준점수</t>
    <phoneticPr fontId="34" type="noConversion"/>
  </si>
  <si>
    <t>산출점수</t>
    <phoneticPr fontId="4" type="noConversion"/>
  </si>
  <si>
    <t>32 미만</t>
    <phoneticPr fontId="4" type="noConversion"/>
  </si>
  <si>
    <t>30 미만</t>
    <phoneticPr fontId="4" type="noConversion"/>
  </si>
  <si>
    <t>31 미만</t>
    <phoneticPr fontId="4" type="noConversion"/>
  </si>
  <si>
    <t>29 미만</t>
    <phoneticPr fontId="4" type="noConversion"/>
  </si>
  <si>
    <t>서울대</t>
    <phoneticPr fontId="1" type="noConversion"/>
  </si>
  <si>
    <t>물리 I</t>
    <phoneticPr fontId="34" type="noConversion"/>
  </si>
  <si>
    <t>2013.12.10</t>
    <phoneticPr fontId="1" type="noConversion"/>
  </si>
  <si>
    <t>*서울대 변환점수 탑재 및, 계산기 탑재</t>
    <phoneticPr fontId="1" type="noConversion"/>
  </si>
  <si>
    <t>*경희대(한)</t>
    <phoneticPr fontId="1" type="noConversion"/>
  </si>
  <si>
    <t>: 반영반법 변경 -&gt; [최고표준점수 미활용]</t>
    <phoneticPr fontId="1" type="noConversion"/>
  </si>
  <si>
    <t>: ABB만 지원가능</t>
    <phoneticPr fontId="1" type="noConversion"/>
  </si>
  <si>
    <t>: [과탐2] 선택시 가산점 3%</t>
    <phoneticPr fontId="1" type="noConversion"/>
  </si>
  <si>
    <t>의치전원</t>
    <phoneticPr fontId="1" type="noConversion"/>
  </si>
  <si>
    <t>동국의전</t>
    <phoneticPr fontId="1" type="noConversion"/>
  </si>
  <si>
    <t>제주의전</t>
    <phoneticPr fontId="1" type="noConversion"/>
  </si>
  <si>
    <t>표</t>
    <phoneticPr fontId="1" type="noConversion"/>
  </si>
  <si>
    <t>[ 의·치전원 ]</t>
    <phoneticPr fontId="1" type="noConversion"/>
  </si>
  <si>
    <t>표</t>
    <phoneticPr fontId="1" type="noConversion"/>
  </si>
  <si>
    <t>전남의·치전(가)</t>
    <phoneticPr fontId="1" type="noConversion"/>
  </si>
  <si>
    <t>전남의·치전(나)</t>
    <phoneticPr fontId="1" type="noConversion"/>
  </si>
  <si>
    <t>제주의전(다)</t>
    <phoneticPr fontId="1" type="noConversion"/>
  </si>
  <si>
    <t>제주의전(나)</t>
    <phoneticPr fontId="1" type="noConversion"/>
  </si>
  <si>
    <t>전남치의전(가)</t>
    <phoneticPr fontId="1" type="noConversion"/>
  </si>
  <si>
    <t>전남치의전(나)</t>
    <phoneticPr fontId="1" type="noConversion"/>
  </si>
  <si>
    <t>: 동일과목 1,2 동시반영 불가능</t>
    <phoneticPr fontId="1" type="noConversion"/>
  </si>
  <si>
    <t>*전남의·치전</t>
    <phoneticPr fontId="1" type="noConversion"/>
  </si>
  <si>
    <t>2013.12.11</t>
    <phoneticPr fontId="1" type="noConversion"/>
  </si>
  <si>
    <t>[Orbi] 물량공급님</t>
    <phoneticPr fontId="1" type="noConversion"/>
  </si>
  <si>
    <t>백</t>
    <phoneticPr fontId="1" type="noConversion"/>
  </si>
  <si>
    <t>[Orbi] 수능 뒷바라님</t>
    <phoneticPr fontId="1" type="noConversion"/>
  </si>
  <si>
    <t>백분위</t>
  </si>
  <si>
    <t>사탐차이</t>
    <phoneticPr fontId="1" type="noConversion"/>
  </si>
  <si>
    <t>과탐차이</t>
    <phoneticPr fontId="1" type="noConversion"/>
  </si>
  <si>
    <t>입학처자료</t>
    <phoneticPr fontId="1" type="noConversion"/>
  </si>
  <si>
    <t>추정자료</t>
    <phoneticPr fontId="1" type="noConversion"/>
  </si>
  <si>
    <t>한림(확정)</t>
    <phoneticPr fontId="1" type="noConversion"/>
  </si>
  <si>
    <t>경희</t>
    <phoneticPr fontId="1" type="noConversion"/>
  </si>
  <si>
    <t>경희(확정)</t>
    <phoneticPr fontId="1" type="noConversion"/>
  </si>
  <si>
    <t>경희</t>
    <phoneticPr fontId="1" type="noConversion"/>
  </si>
  <si>
    <t>변표</t>
    <phoneticPr fontId="1" type="noConversion"/>
  </si>
  <si>
    <t>*의치전 탑재 + 경희대 변표 탑재</t>
    <phoneticPr fontId="1" type="noConversion"/>
  </si>
  <si>
    <t>고(확정)</t>
    <phoneticPr fontId="1" type="noConversion"/>
  </si>
  <si>
    <t>2013.12.12</t>
    <phoneticPr fontId="1" type="noConversion"/>
  </si>
  <si>
    <t>연(확정)</t>
    <phoneticPr fontId="1" type="noConversion"/>
  </si>
  <si>
    <t>*고려대 변표 탑재</t>
    <phoneticPr fontId="1" type="noConversion"/>
  </si>
  <si>
    <t>2013.12.13</t>
    <phoneticPr fontId="1" type="noConversion"/>
  </si>
  <si>
    <t>*별첨 - 점공카페 홍보</t>
    <phoneticPr fontId="1" type="noConversion"/>
  </si>
  <si>
    <t>경희대</t>
    <phoneticPr fontId="1" type="noConversion"/>
  </si>
  <si>
    <t>이화여대</t>
    <phoneticPr fontId="1" type="noConversion"/>
  </si>
  <si>
    <t>서울시립대</t>
    <phoneticPr fontId="1" type="noConversion"/>
  </si>
  <si>
    <t>연세대</t>
    <phoneticPr fontId="1" type="noConversion"/>
  </si>
  <si>
    <t>(http://cafe.daum.net/ewhalady)</t>
    <phoneticPr fontId="1" type="noConversion"/>
  </si>
  <si>
    <t>*서울시립대가자    [http://cafe.daum.net/gotouos]</t>
    <phoneticPr fontId="1" type="noConversion"/>
  </si>
  <si>
    <t>*경희Holic             [http://cafe.daum.net/Khuholic]</t>
    <phoneticPr fontId="1" type="noConversion"/>
  </si>
  <si>
    <t>*연세point             [http://cafe.daum.net/yonseipoint2005]</t>
    <phoneticPr fontId="1" type="noConversion"/>
  </si>
  <si>
    <t>*이대나올여자       [http://cafe.daum.net/ewhalady]</t>
    <phoneticPr fontId="1" type="noConversion"/>
  </si>
  <si>
    <t>서울대</t>
    <phoneticPr fontId="1" type="noConversion"/>
  </si>
  <si>
    <t>[Orbi] 페도</t>
    <phoneticPr fontId="1" type="noConversion"/>
  </si>
  <si>
    <t>*연세대 변표 탑재, 서울대 반영비율 수정, 계명대 만점표시방식수정</t>
    <phoneticPr fontId="1" type="noConversion"/>
  </si>
  <si>
    <t>2013.12.16</t>
    <phoneticPr fontId="1" type="noConversion"/>
  </si>
  <si>
    <t>*성균관대 변표 탑재, 중앙대 변표 탑재</t>
    <phoneticPr fontId="1" type="noConversion"/>
  </si>
  <si>
    <t>사탐영역</t>
  </si>
  <si>
    <t>과탐영역</t>
  </si>
  <si>
    <t>성(확정)</t>
    <phoneticPr fontId="1" type="noConversion"/>
  </si>
  <si>
    <t>중(확정)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</si>
</sst>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0_);[Red]\(0.00\)"/>
    <numFmt numFmtId="177" formatCode="0.00_ "/>
    <numFmt numFmtId="178" formatCode="0.0000_ "/>
    <numFmt numFmtId="179" formatCode="0_ "/>
    <numFmt numFmtId="180" formatCode="0.00_ ;[Red]\-0.00\ "/>
  </numFmts>
  <fonts count="3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1"/>
      <color theme="1"/>
      <name val="나눔명조 ExtraBold"/>
      <family val="1"/>
      <charset val="129"/>
    </font>
    <font>
      <b/>
      <sz val="11"/>
      <color indexed="8"/>
      <name val="나눔명조 ExtraBold"/>
      <family val="1"/>
      <charset val="129"/>
    </font>
    <font>
      <sz val="11"/>
      <color indexed="8"/>
      <name val="나눔명조 ExtraBold"/>
      <family val="1"/>
      <charset val="129"/>
    </font>
    <font>
      <b/>
      <sz val="11"/>
      <color theme="1"/>
      <name val="나눔명조 ExtraBold"/>
      <family val="1"/>
      <charset val="129"/>
    </font>
    <font>
      <sz val="11"/>
      <name val="나눔명조 ExtraBold"/>
      <family val="1"/>
      <charset val="129"/>
    </font>
    <font>
      <sz val="14"/>
      <color theme="8"/>
      <name val="바탕"/>
      <family val="1"/>
      <charset val="129"/>
    </font>
    <font>
      <sz val="11"/>
      <color theme="1"/>
      <name val="바탕"/>
      <family val="1"/>
      <charset val="129"/>
    </font>
    <font>
      <sz val="14"/>
      <color theme="1"/>
      <name val="바탕"/>
      <family val="1"/>
      <charset val="129"/>
    </font>
    <font>
      <b/>
      <sz val="14"/>
      <color theme="1"/>
      <name val="바탕"/>
      <family val="1"/>
      <charset val="129"/>
    </font>
    <font>
      <b/>
      <sz val="14"/>
      <color theme="8"/>
      <name val="바탕"/>
      <family val="1"/>
      <charset val="129"/>
    </font>
    <font>
      <b/>
      <sz val="14"/>
      <color theme="9"/>
      <name val="바탕"/>
      <family val="1"/>
      <charset val="129"/>
    </font>
    <font>
      <b/>
      <sz val="14"/>
      <color theme="5"/>
      <name val="바탕"/>
      <family val="1"/>
      <charset val="129"/>
    </font>
    <font>
      <b/>
      <sz val="12"/>
      <color theme="0"/>
      <name val="바탕"/>
      <family val="1"/>
      <charset val="129"/>
    </font>
    <font>
      <b/>
      <sz val="14"/>
      <color theme="0" tint="-0.499984740745262"/>
      <name val="바탕"/>
      <family val="1"/>
      <charset val="129"/>
    </font>
    <font>
      <sz val="14"/>
      <color theme="0"/>
      <name val="바탕"/>
      <family val="1"/>
      <charset val="129"/>
    </font>
    <font>
      <sz val="14"/>
      <color theme="9"/>
      <name val="바탕"/>
      <family val="1"/>
      <charset val="129"/>
    </font>
    <font>
      <sz val="14"/>
      <color theme="5"/>
      <name val="바탕"/>
      <family val="1"/>
      <charset val="129"/>
    </font>
    <font>
      <b/>
      <sz val="12"/>
      <name val="바탕"/>
      <family val="1"/>
      <charset val="129"/>
    </font>
    <font>
      <b/>
      <sz val="12"/>
      <color theme="1"/>
      <name val="바탕"/>
      <family val="1"/>
      <charset val="129"/>
    </font>
    <font>
      <sz val="12"/>
      <color theme="1"/>
      <name val="바탕"/>
      <family val="1"/>
      <charset val="129"/>
    </font>
    <font>
      <b/>
      <sz val="16"/>
      <color theme="0"/>
      <name val="바탕"/>
      <family val="1"/>
      <charset val="129"/>
    </font>
    <font>
      <u/>
      <sz val="11"/>
      <color theme="10"/>
      <name val="맑은 고딕"/>
      <family val="2"/>
      <charset val="129"/>
      <scheme val="minor"/>
    </font>
    <font>
      <b/>
      <sz val="16"/>
      <color theme="1"/>
      <name val="맑은 고딕"/>
      <family val="3"/>
      <charset val="129"/>
    </font>
    <font>
      <b/>
      <sz val="11"/>
      <color theme="1"/>
      <name val="맑은 고딕"/>
      <family val="3"/>
      <charset val="129"/>
    </font>
    <font>
      <sz val="11"/>
      <color theme="1"/>
      <name val="맑은 고딕"/>
      <family val="3"/>
      <charset val="129"/>
    </font>
    <font>
      <b/>
      <sz val="14"/>
      <color theme="1"/>
      <name val="맑은 고딕"/>
      <family val="3"/>
      <charset val="129"/>
    </font>
    <font>
      <b/>
      <sz val="11"/>
      <color theme="10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</font>
    <font>
      <b/>
      <sz val="14"/>
      <color theme="0"/>
      <name val="바탕"/>
      <family val="1"/>
      <charset val="129"/>
    </font>
    <font>
      <sz val="8"/>
      <name val="돋움"/>
      <family val="3"/>
      <charset val="129"/>
    </font>
    <font>
      <b/>
      <sz val="10"/>
      <name val="나눔명조 ExtraBold"/>
      <family val="1"/>
      <charset val="129"/>
    </font>
    <font>
      <sz val="10"/>
      <name val="나눔명조 ExtraBold"/>
      <family val="1"/>
      <charset val="129"/>
    </font>
    <font>
      <sz val="10"/>
      <color theme="1"/>
      <name val="나눔명조 ExtraBold"/>
      <family val="1"/>
      <charset val="129"/>
    </font>
    <font>
      <b/>
      <sz val="16"/>
      <color theme="1"/>
      <name val="바탕"/>
      <family val="1"/>
      <charset val="129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rgb="FFC00000"/>
        <bgColor indexed="64"/>
      </patternFill>
    </fill>
    <fill>
      <gradientFill degree="90">
        <stop position="0">
          <color theme="0"/>
        </stop>
        <stop position="1">
          <color rgb="FF7030A0"/>
        </stop>
      </gradientFill>
    </fill>
    <fill>
      <patternFill patternType="solid">
        <fgColor theme="9" tint="0.399975585192419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CC99FF"/>
        <bgColor indexed="64"/>
      </patternFill>
    </fill>
    <fill>
      <gradientFill degree="90">
        <stop position="0">
          <color theme="0"/>
        </stop>
        <stop position="1">
          <color theme="9"/>
        </stop>
      </gradientFill>
    </fill>
    <fill>
      <patternFill patternType="solid">
        <fgColor theme="8"/>
        <bgColor indexed="64"/>
      </patternFill>
    </fill>
    <fill>
      <gradientFill degree="90">
        <stop position="0">
          <color theme="0"/>
        </stop>
        <stop position="1">
          <color theme="4"/>
        </stop>
      </gradientFill>
    </fill>
  </fills>
  <borders count="8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8"/>
      </bottom>
      <diagonal/>
    </border>
    <border>
      <left/>
      <right style="thin">
        <color theme="8" tint="0.39994506668294322"/>
      </right>
      <top/>
      <bottom style="thick">
        <color theme="8"/>
      </bottom>
      <diagonal/>
    </border>
    <border>
      <left style="thin">
        <color theme="8" tint="0.39994506668294322"/>
      </left>
      <right/>
      <top/>
      <bottom style="thick">
        <color theme="8"/>
      </bottom>
      <diagonal/>
    </border>
    <border>
      <left/>
      <right/>
      <top/>
      <bottom style="thick">
        <color theme="9"/>
      </bottom>
      <diagonal/>
    </border>
    <border>
      <left/>
      <right style="thin">
        <color theme="8" tint="0.39991454817346722"/>
      </right>
      <top/>
      <bottom style="thick">
        <color theme="9"/>
      </bottom>
      <diagonal/>
    </border>
    <border>
      <left style="thin">
        <color theme="8" tint="0.39991454817346722"/>
      </left>
      <right/>
      <top/>
      <bottom style="thick">
        <color theme="9"/>
      </bottom>
      <diagonal/>
    </border>
    <border>
      <left/>
      <right/>
      <top/>
      <bottom style="thick">
        <color theme="5"/>
      </bottom>
      <diagonal/>
    </border>
    <border>
      <left/>
      <right style="thin">
        <color theme="8" tint="0.39994506668294322"/>
      </right>
      <top/>
      <bottom style="thick">
        <color theme="5"/>
      </bottom>
      <diagonal/>
    </border>
    <border>
      <left style="thin">
        <color theme="8" tint="0.39994506668294322"/>
      </left>
      <right/>
      <top/>
      <bottom style="thick">
        <color theme="5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ck">
        <color theme="1"/>
      </top>
      <bottom style="thin">
        <color theme="0" tint="-0.34998626667073579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theme="0" tint="-0.34998626667073579"/>
      </right>
      <top style="thick">
        <color indexed="64"/>
      </top>
      <bottom style="thin">
        <color theme="0" tint="-0.34998626667073579"/>
      </bottom>
      <diagonal/>
    </border>
    <border>
      <left/>
      <right/>
      <top style="thick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ck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/>
      <bottom style="thick">
        <color theme="8"/>
      </bottom>
      <diagonal/>
    </border>
    <border>
      <left style="thin">
        <color indexed="64"/>
      </left>
      <right/>
      <top/>
      <bottom style="thick">
        <color theme="8"/>
      </bottom>
      <diagonal/>
    </border>
    <border>
      <left/>
      <right style="thin">
        <color indexed="64"/>
      </right>
      <top/>
      <bottom style="thick">
        <color theme="9"/>
      </bottom>
      <diagonal/>
    </border>
    <border>
      <left style="thin">
        <color indexed="64"/>
      </left>
      <right/>
      <top/>
      <bottom style="thick">
        <color theme="9"/>
      </bottom>
      <diagonal/>
    </border>
    <border>
      <left/>
      <right style="thin">
        <color indexed="64"/>
      </right>
      <top/>
      <bottom style="thick">
        <color theme="5"/>
      </bottom>
      <diagonal/>
    </border>
    <border>
      <left style="thin">
        <color indexed="64"/>
      </left>
      <right/>
      <top/>
      <bottom style="thick">
        <color theme="5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6" fillId="0" borderId="0" applyNumberFormat="0" applyFill="0" applyBorder="0" applyAlignment="0" applyProtection="0">
      <alignment vertical="center"/>
    </xf>
  </cellStyleXfs>
  <cellXfs count="205">
    <xf numFmtId="0" fontId="0" fillId="0" borderId="0" xfId="0">
      <alignment vertical="center"/>
    </xf>
    <xf numFmtId="0" fontId="0" fillId="0" borderId="1" xfId="0" applyFill="1" applyBorder="1" applyProtection="1">
      <alignment vertical="center"/>
    </xf>
    <xf numFmtId="176" fontId="3" fillId="0" borderId="1" xfId="1" applyNumberFormat="1" applyFont="1" applyFill="1" applyBorder="1" applyAlignment="1" applyProtection="1">
      <alignment horizontal="center" vertical="center" shrinkToFit="1"/>
    </xf>
    <xf numFmtId="0" fontId="0" fillId="0" borderId="0" xfId="0" applyProtection="1">
      <alignment vertical="center"/>
    </xf>
    <xf numFmtId="176" fontId="3" fillId="0" borderId="6" xfId="1" applyNumberFormat="1" applyFont="1" applyFill="1" applyBorder="1" applyAlignment="1" applyProtection="1">
      <alignment horizontal="center" vertical="center" shrinkToFit="1"/>
    </xf>
    <xf numFmtId="176" fontId="3" fillId="0" borderId="26" xfId="1" applyNumberFormat="1" applyFont="1" applyFill="1" applyBorder="1" applyAlignment="1" applyProtection="1">
      <alignment horizontal="center" vertical="center" shrinkToFit="1"/>
    </xf>
    <xf numFmtId="0" fontId="0" fillId="0" borderId="7" xfId="0" applyFill="1" applyBorder="1" applyProtection="1">
      <alignment vertical="center"/>
    </xf>
    <xf numFmtId="177" fontId="10" fillId="3" borderId="1" xfId="0" applyNumberFormat="1" applyFont="1" applyFill="1" applyBorder="1">
      <alignment vertical="center"/>
    </xf>
    <xf numFmtId="0" fontId="11" fillId="3" borderId="0" xfId="0" applyFont="1" applyFill="1">
      <alignment vertical="center"/>
    </xf>
    <xf numFmtId="177" fontId="12" fillId="3" borderId="0" xfId="0" applyNumberFormat="1" applyFont="1" applyFill="1">
      <alignment vertical="center"/>
    </xf>
    <xf numFmtId="0" fontId="17" fillId="4" borderId="46" xfId="0" applyFont="1" applyFill="1" applyBorder="1" applyAlignment="1" applyProtection="1">
      <alignment horizontal="center" vertical="center"/>
      <protection locked="0"/>
    </xf>
    <xf numFmtId="0" fontId="12" fillId="3" borderId="48" xfId="0" applyFont="1" applyFill="1" applyBorder="1" applyAlignment="1">
      <alignment horizontal="center" vertical="center"/>
    </xf>
    <xf numFmtId="0" fontId="18" fillId="3" borderId="48" xfId="0" applyFont="1" applyFill="1" applyBorder="1" applyAlignment="1">
      <alignment horizontal="center" vertical="center"/>
    </xf>
    <xf numFmtId="177" fontId="10" fillId="3" borderId="22" xfId="0" applyNumberFormat="1" applyFont="1" applyFill="1" applyBorder="1">
      <alignment vertical="center"/>
    </xf>
    <xf numFmtId="177" fontId="20" fillId="3" borderId="22" xfId="0" applyNumberFormat="1" applyFont="1" applyFill="1" applyBorder="1">
      <alignment vertical="center"/>
    </xf>
    <xf numFmtId="0" fontId="21" fillId="3" borderId="22" xfId="0" applyFont="1" applyFill="1" applyBorder="1">
      <alignment vertical="center"/>
    </xf>
    <xf numFmtId="0" fontId="22" fillId="0" borderId="46" xfId="0" applyFont="1" applyFill="1" applyBorder="1" applyAlignment="1" applyProtection="1">
      <alignment horizontal="center" vertical="center"/>
      <protection locked="0"/>
    </xf>
    <xf numFmtId="0" fontId="18" fillId="3" borderId="47" xfId="0" applyFont="1" applyFill="1" applyBorder="1" applyAlignment="1">
      <alignment horizontal="center" vertical="center"/>
    </xf>
    <xf numFmtId="0" fontId="19" fillId="4" borderId="47" xfId="0" applyNumberFormat="1" applyFont="1" applyFill="1" applyBorder="1" applyAlignment="1" applyProtection="1">
      <alignment horizontal="center" vertical="center"/>
      <protection locked="0"/>
    </xf>
    <xf numFmtId="177" fontId="20" fillId="3" borderId="1" xfId="0" applyNumberFormat="1" applyFont="1" applyFill="1" applyBorder="1">
      <alignment vertical="center"/>
    </xf>
    <xf numFmtId="177" fontId="21" fillId="3" borderId="1" xfId="0" applyNumberFormat="1" applyFont="1" applyFill="1" applyBorder="1">
      <alignment vertical="center"/>
    </xf>
    <xf numFmtId="0" fontId="23" fillId="3" borderId="46" xfId="0" applyFont="1" applyFill="1" applyBorder="1" applyAlignment="1" applyProtection="1">
      <alignment horizontal="center" vertical="center"/>
      <protection locked="0"/>
    </xf>
    <xf numFmtId="0" fontId="18" fillId="3" borderId="46" xfId="0" applyFont="1" applyFill="1" applyBorder="1" applyAlignment="1">
      <alignment horizontal="center" vertical="center"/>
    </xf>
    <xf numFmtId="0" fontId="19" fillId="4" borderId="46" xfId="0" applyNumberFormat="1" applyFont="1" applyFill="1" applyBorder="1" applyAlignment="1" applyProtection="1">
      <alignment horizontal="center" vertical="center"/>
      <protection locked="0"/>
    </xf>
    <xf numFmtId="0" fontId="21" fillId="3" borderId="1" xfId="0" applyFont="1" applyFill="1" applyBorder="1">
      <alignment vertical="center"/>
    </xf>
    <xf numFmtId="0" fontId="23" fillId="3" borderId="62" xfId="0" applyFont="1" applyFill="1" applyBorder="1" applyAlignment="1" applyProtection="1">
      <alignment horizontal="center" vertical="center"/>
      <protection locked="0"/>
    </xf>
    <xf numFmtId="0" fontId="12" fillId="3" borderId="46" xfId="0" applyFont="1" applyFill="1" applyBorder="1" applyAlignment="1">
      <alignment horizontal="center" vertical="center"/>
    </xf>
    <xf numFmtId="0" fontId="23" fillId="3" borderId="61" xfId="0" applyFont="1" applyFill="1" applyBorder="1" applyAlignment="1" applyProtection="1">
      <alignment horizontal="center" vertical="center"/>
      <protection locked="0"/>
    </xf>
    <xf numFmtId="0" fontId="24" fillId="3" borderId="0" xfId="0" applyFont="1" applyFill="1">
      <alignment vertical="center"/>
    </xf>
    <xf numFmtId="0" fontId="23" fillId="3" borderId="0" xfId="0" applyFont="1" applyFill="1" applyBorder="1" applyAlignment="1" applyProtection="1">
      <alignment horizontal="center" vertical="center"/>
      <protection locked="0"/>
    </xf>
    <xf numFmtId="0" fontId="12" fillId="3" borderId="54" xfId="0" applyFont="1" applyFill="1" applyBorder="1" applyAlignment="1">
      <alignment horizontal="center" vertical="center"/>
    </xf>
    <xf numFmtId="0" fontId="18" fillId="3" borderId="53" xfId="0" applyFont="1" applyFill="1" applyBorder="1" applyAlignment="1">
      <alignment horizontal="center" vertical="center"/>
    </xf>
    <xf numFmtId="0" fontId="18" fillId="3" borderId="52" xfId="0" applyFont="1" applyFill="1" applyBorder="1" applyAlignment="1">
      <alignment horizontal="center" vertical="center"/>
    </xf>
    <xf numFmtId="177" fontId="21" fillId="3" borderId="22" xfId="0" applyNumberFormat="1" applyFont="1" applyFill="1" applyBorder="1">
      <alignment vertical="center"/>
    </xf>
    <xf numFmtId="0" fontId="19" fillId="4" borderId="46" xfId="0" applyFont="1" applyFill="1" applyBorder="1" applyAlignment="1" applyProtection="1">
      <alignment horizontal="center" vertical="center"/>
      <protection locked="0"/>
    </xf>
    <xf numFmtId="0" fontId="11" fillId="3" borderId="32" xfId="0" applyFont="1" applyFill="1" applyBorder="1">
      <alignment vertical="center"/>
    </xf>
    <xf numFmtId="0" fontId="11" fillId="3" borderId="33" xfId="0" applyFont="1" applyFill="1" applyBorder="1">
      <alignment vertical="center"/>
    </xf>
    <xf numFmtId="0" fontId="11" fillId="3" borderId="28" xfId="0" applyFont="1" applyFill="1" applyBorder="1">
      <alignment vertical="center"/>
    </xf>
    <xf numFmtId="0" fontId="11" fillId="3" borderId="29" xfId="0" applyFont="1" applyFill="1" applyBorder="1">
      <alignment vertical="center"/>
    </xf>
    <xf numFmtId="177" fontId="11" fillId="3" borderId="30" xfId="0" applyNumberFormat="1" applyFont="1" applyFill="1" applyBorder="1" applyAlignment="1">
      <alignment vertical="center"/>
    </xf>
    <xf numFmtId="0" fontId="11" fillId="3" borderId="31" xfId="0" applyFont="1" applyFill="1" applyBorder="1">
      <alignment vertical="center"/>
    </xf>
    <xf numFmtId="0" fontId="11" fillId="3" borderId="25" xfId="0" applyFont="1" applyFill="1" applyBorder="1">
      <alignment vertical="center"/>
    </xf>
    <xf numFmtId="0" fontId="11" fillId="3" borderId="25" xfId="0" applyFont="1" applyFill="1" applyBorder="1" applyAlignment="1">
      <alignment horizontal="center" vertical="center"/>
    </xf>
    <xf numFmtId="0" fontId="29" fillId="3" borderId="0" xfId="0" applyFont="1" applyFill="1">
      <alignment vertical="center"/>
    </xf>
    <xf numFmtId="0" fontId="5" fillId="0" borderId="0" xfId="0" applyFont="1" applyProtection="1">
      <alignment vertical="center"/>
      <protection locked="0" hidden="1"/>
    </xf>
    <xf numFmtId="0" fontId="5" fillId="0" borderId="1" xfId="0" applyFont="1" applyBorder="1" applyProtection="1">
      <alignment vertical="center"/>
      <protection locked="0" hidden="1"/>
    </xf>
    <xf numFmtId="177" fontId="5" fillId="0" borderId="1" xfId="0" applyNumberFormat="1" applyFont="1" applyBorder="1" applyProtection="1">
      <alignment vertical="center"/>
      <protection locked="0" hidden="1"/>
    </xf>
    <xf numFmtId="177" fontId="5" fillId="0" borderId="0" xfId="0" applyNumberFormat="1" applyFont="1" applyProtection="1">
      <alignment vertical="center"/>
      <protection locked="0" hidden="1"/>
    </xf>
    <xf numFmtId="0" fontId="6" fillId="0" borderId="16" xfId="0" applyFont="1" applyFill="1" applyBorder="1" applyAlignment="1" applyProtection="1">
      <alignment horizontal="center" vertical="center"/>
      <protection locked="0" hidden="1"/>
    </xf>
    <xf numFmtId="0" fontId="7" fillId="0" borderId="8" xfId="0" applyFont="1" applyFill="1" applyBorder="1" applyAlignment="1" applyProtection="1">
      <alignment horizontal="center" vertical="center"/>
      <protection locked="0" hidden="1"/>
    </xf>
    <xf numFmtId="0" fontId="7" fillId="0" borderId="9" xfId="0" applyFont="1" applyFill="1" applyBorder="1" applyAlignment="1" applyProtection="1">
      <alignment horizontal="center" vertical="center"/>
      <protection locked="0" hidden="1"/>
    </xf>
    <xf numFmtId="178" fontId="7" fillId="0" borderId="10" xfId="0" applyNumberFormat="1" applyFont="1" applyFill="1" applyBorder="1" applyAlignment="1" applyProtection="1">
      <alignment horizontal="center" vertical="center"/>
      <protection locked="0" hidden="1"/>
    </xf>
    <xf numFmtId="178" fontId="7" fillId="0" borderId="0" xfId="0" applyNumberFormat="1" applyFont="1" applyFill="1" applyBorder="1" applyAlignment="1" applyProtection="1">
      <alignment horizontal="center" vertical="center"/>
      <protection locked="0" hidden="1"/>
    </xf>
    <xf numFmtId="0" fontId="6" fillId="0" borderId="17" xfId="0" applyFont="1" applyFill="1" applyBorder="1" applyAlignment="1" applyProtection="1">
      <alignment horizontal="center" vertical="center"/>
      <protection locked="0" hidden="1"/>
    </xf>
    <xf numFmtId="0" fontId="7" fillId="0" borderId="11" xfId="0" applyFont="1" applyFill="1" applyBorder="1" applyAlignment="1" applyProtection="1">
      <alignment horizontal="center" vertical="center"/>
      <protection locked="0" hidden="1"/>
    </xf>
    <xf numFmtId="0" fontId="7" fillId="0" borderId="1" xfId="0" applyFont="1" applyFill="1" applyBorder="1" applyAlignment="1" applyProtection="1">
      <alignment horizontal="center" vertical="center"/>
      <protection locked="0" hidden="1"/>
    </xf>
    <xf numFmtId="178" fontId="7" fillId="0" borderId="2" xfId="0" applyNumberFormat="1" applyFont="1" applyFill="1" applyBorder="1" applyAlignment="1" applyProtection="1">
      <alignment horizontal="center" vertical="center"/>
      <protection locked="0" hidden="1"/>
    </xf>
    <xf numFmtId="0" fontId="6" fillId="0" borderId="18" xfId="0" applyFont="1" applyFill="1" applyBorder="1" applyAlignment="1" applyProtection="1">
      <alignment horizontal="center" vertical="center"/>
      <protection locked="0" hidden="1"/>
    </xf>
    <xf numFmtId="0" fontId="7" fillId="0" borderId="12" xfId="0" applyFont="1" applyFill="1" applyBorder="1" applyAlignment="1" applyProtection="1">
      <alignment horizontal="center" vertical="center"/>
      <protection locked="0" hidden="1"/>
    </xf>
    <xf numFmtId="0" fontId="7" fillId="0" borderId="13" xfId="0" applyFont="1" applyFill="1" applyBorder="1" applyAlignment="1" applyProtection="1">
      <alignment horizontal="center" vertical="center"/>
      <protection locked="0" hidden="1"/>
    </xf>
    <xf numFmtId="178" fontId="7" fillId="0" borderId="14" xfId="0" applyNumberFormat="1" applyFont="1" applyFill="1" applyBorder="1" applyAlignment="1" applyProtection="1">
      <alignment horizontal="center" vertical="center"/>
      <protection locked="0" hidden="1"/>
    </xf>
    <xf numFmtId="178" fontId="5" fillId="0" borderId="1" xfId="0" applyNumberFormat="1" applyFont="1" applyBorder="1" applyProtection="1">
      <alignment vertical="center"/>
      <protection locked="0" hidden="1"/>
    </xf>
    <xf numFmtId="0" fontId="8" fillId="0" borderId="19" xfId="0" applyFont="1" applyBorder="1" applyAlignment="1" applyProtection="1">
      <alignment horizontal="center" vertical="center"/>
      <protection locked="0" hidden="1"/>
    </xf>
    <xf numFmtId="0" fontId="5" fillId="0" borderId="8" xfId="0" applyFont="1" applyBorder="1" applyAlignment="1" applyProtection="1">
      <alignment horizontal="center" vertical="center"/>
      <protection locked="0" hidden="1"/>
    </xf>
    <xf numFmtId="178" fontId="7" fillId="0" borderId="24" xfId="0" applyNumberFormat="1" applyFont="1" applyFill="1" applyBorder="1" applyAlignment="1" applyProtection="1">
      <alignment horizontal="center" vertical="center"/>
      <protection locked="0" hidden="1"/>
    </xf>
    <xf numFmtId="179" fontId="6" fillId="0" borderId="8" xfId="0" applyNumberFormat="1" applyFont="1" applyFill="1" applyBorder="1" applyAlignment="1" applyProtection="1">
      <alignment horizontal="center" vertical="center"/>
      <protection locked="0" hidden="1"/>
    </xf>
    <xf numFmtId="0" fontId="8" fillId="0" borderId="10" xfId="0" applyFont="1" applyBorder="1" applyProtection="1">
      <alignment vertical="center"/>
      <protection locked="0" hidden="1"/>
    </xf>
    <xf numFmtId="0" fontId="8" fillId="0" borderId="17" xfId="0" applyFont="1" applyBorder="1" applyAlignment="1" applyProtection="1">
      <alignment horizontal="center" vertical="center"/>
      <protection locked="0" hidden="1"/>
    </xf>
    <xf numFmtId="0" fontId="5" fillId="0" borderId="11" xfId="0" applyFont="1" applyBorder="1" applyAlignment="1" applyProtection="1">
      <alignment horizontal="center" vertical="center"/>
      <protection locked="0" hidden="1"/>
    </xf>
    <xf numFmtId="178" fontId="7" fillId="0" borderId="6" xfId="0" applyNumberFormat="1" applyFont="1" applyFill="1" applyBorder="1" applyAlignment="1" applyProtection="1">
      <alignment horizontal="center" vertical="center"/>
      <protection locked="0" hidden="1"/>
    </xf>
    <xf numFmtId="179" fontId="7" fillId="0" borderId="11" xfId="0" applyNumberFormat="1" applyFont="1" applyFill="1" applyBorder="1" applyAlignment="1" applyProtection="1">
      <alignment horizontal="center" vertical="center"/>
      <protection locked="0" hidden="1"/>
    </xf>
    <xf numFmtId="0" fontId="5" fillId="0" borderId="2" xfId="0" applyFont="1" applyBorder="1" applyProtection="1">
      <alignment vertical="center"/>
      <protection locked="0" hidden="1"/>
    </xf>
    <xf numFmtId="179" fontId="7" fillId="0" borderId="12" xfId="0" applyNumberFormat="1" applyFont="1" applyFill="1" applyBorder="1" applyAlignment="1" applyProtection="1">
      <alignment horizontal="center" vertical="center"/>
      <protection locked="0" hidden="1"/>
    </xf>
    <xf numFmtId="0" fontId="5" fillId="0" borderId="14" xfId="0" applyFont="1" applyBorder="1" applyProtection="1">
      <alignment vertical="center"/>
      <protection locked="0" hidden="1"/>
    </xf>
    <xf numFmtId="179" fontId="7" fillId="0" borderId="0" xfId="0" applyNumberFormat="1" applyFont="1" applyFill="1" applyBorder="1" applyAlignment="1" applyProtection="1">
      <alignment horizontal="center" vertical="center"/>
      <protection locked="0" hidden="1"/>
    </xf>
    <xf numFmtId="0" fontId="8" fillId="0" borderId="20" xfId="0" applyFont="1" applyBorder="1" applyAlignment="1" applyProtection="1">
      <alignment horizontal="center" vertical="center"/>
      <protection locked="0" hidden="1"/>
    </xf>
    <xf numFmtId="0" fontId="5" fillId="0" borderId="12" xfId="0" applyFont="1" applyBorder="1" applyAlignment="1" applyProtection="1">
      <alignment horizontal="center" vertical="center"/>
      <protection locked="0" hidden="1"/>
    </xf>
    <xf numFmtId="0" fontId="8" fillId="0" borderId="16" xfId="0" applyFont="1" applyBorder="1" applyAlignment="1" applyProtection="1">
      <alignment horizontal="center" vertical="center"/>
      <protection locked="0" hidden="1"/>
    </xf>
    <xf numFmtId="0" fontId="7" fillId="0" borderId="21" xfId="0" applyFont="1" applyFill="1" applyBorder="1" applyAlignment="1" applyProtection="1">
      <alignment horizontal="center" vertical="center"/>
      <protection locked="0" hidden="1"/>
    </xf>
    <xf numFmtId="0" fontId="7" fillId="0" borderId="22" xfId="0" applyFont="1" applyFill="1" applyBorder="1" applyAlignment="1" applyProtection="1">
      <alignment horizontal="center" vertical="center"/>
      <protection locked="0" hidden="1"/>
    </xf>
    <xf numFmtId="178" fontId="7" fillId="0" borderId="23" xfId="0" applyNumberFormat="1" applyFont="1" applyFill="1" applyBorder="1" applyAlignment="1" applyProtection="1">
      <alignment horizontal="center" vertical="center"/>
      <protection locked="0" hidden="1"/>
    </xf>
    <xf numFmtId="0" fontId="9" fillId="0" borderId="11" xfId="0" applyFont="1" applyFill="1" applyBorder="1" applyAlignment="1" applyProtection="1">
      <alignment horizontal="center" vertical="center"/>
      <protection locked="0" hidden="1"/>
    </xf>
    <xf numFmtId="0" fontId="8" fillId="0" borderId="18" xfId="0" applyFont="1" applyBorder="1" applyAlignment="1" applyProtection="1">
      <alignment horizontal="center" vertical="center"/>
      <protection locked="0" hidden="1"/>
    </xf>
    <xf numFmtId="0" fontId="8" fillId="0" borderId="0" xfId="0" applyFont="1" applyFill="1" applyBorder="1" applyAlignment="1" applyProtection="1">
      <alignment horizontal="center" vertical="center"/>
      <protection locked="0" hidden="1"/>
    </xf>
    <xf numFmtId="0" fontId="5" fillId="2" borderId="0" xfId="0" applyFont="1" applyFill="1" applyProtection="1">
      <alignment vertical="center"/>
      <protection locked="0" hidden="1"/>
    </xf>
    <xf numFmtId="177" fontId="5" fillId="0" borderId="27" xfId="0" applyNumberFormat="1" applyFont="1" applyBorder="1" applyProtection="1">
      <alignment vertical="center"/>
      <protection locked="0" hidden="1"/>
    </xf>
    <xf numFmtId="0" fontId="6" fillId="0" borderId="3" xfId="0" applyFont="1" applyFill="1" applyBorder="1" applyAlignment="1" applyProtection="1">
      <alignment horizontal="center" vertical="center"/>
      <protection locked="0" hidden="1"/>
    </xf>
    <xf numFmtId="0" fontId="6" fillId="0" borderId="4" xfId="0" applyFont="1" applyFill="1" applyBorder="1" applyAlignment="1" applyProtection="1">
      <alignment horizontal="center" vertical="center"/>
      <protection locked="0" hidden="1"/>
    </xf>
    <xf numFmtId="0" fontId="6" fillId="0" borderId="5" xfId="0" applyFont="1" applyFill="1" applyBorder="1" applyAlignment="1" applyProtection="1">
      <alignment horizontal="center" vertical="center"/>
      <protection locked="0" hidden="1"/>
    </xf>
    <xf numFmtId="0" fontId="8" fillId="0" borderId="15" xfId="0" applyFont="1" applyBorder="1" applyAlignment="1" applyProtection="1">
      <alignment horizontal="center" vertical="center"/>
      <protection locked="0" hidden="1"/>
    </xf>
    <xf numFmtId="179" fontId="6" fillId="0" borderId="25" xfId="0" applyNumberFormat="1" applyFont="1" applyFill="1" applyBorder="1" applyAlignment="1" applyProtection="1">
      <alignment horizontal="center" vertical="center"/>
      <protection locked="0" hidden="1"/>
    </xf>
    <xf numFmtId="0" fontId="8" fillId="0" borderId="4" xfId="0" applyFont="1" applyBorder="1" applyAlignment="1" applyProtection="1">
      <alignment horizontal="center" vertical="center"/>
      <protection locked="0" hidden="1"/>
    </xf>
    <xf numFmtId="0" fontId="8" fillId="0" borderId="5" xfId="0" applyFont="1" applyBorder="1" applyAlignment="1" applyProtection="1">
      <alignment horizontal="center" vertical="center"/>
      <protection locked="0" hidden="1"/>
    </xf>
    <xf numFmtId="0" fontId="8" fillId="0" borderId="1" xfId="0" applyFont="1" applyBorder="1" applyAlignment="1" applyProtection="1">
      <alignment horizontal="center" vertical="center"/>
      <protection locked="0" hidden="1"/>
    </xf>
    <xf numFmtId="0" fontId="5" fillId="0" borderId="1" xfId="0" applyNumberFormat="1" applyFont="1" applyBorder="1" applyProtection="1">
      <alignment vertical="center"/>
      <protection locked="0" hidden="1"/>
    </xf>
    <xf numFmtId="0" fontId="5" fillId="0" borderId="1" xfId="0" applyNumberFormat="1" applyFont="1" applyFill="1" applyBorder="1" applyProtection="1">
      <alignment vertical="center"/>
      <protection locked="0" hidden="1"/>
    </xf>
    <xf numFmtId="0" fontId="8" fillId="0" borderId="1" xfId="0" applyFont="1" applyFill="1" applyBorder="1" applyAlignment="1" applyProtection="1">
      <alignment horizontal="center" vertical="center"/>
      <protection locked="0" hidden="1"/>
    </xf>
    <xf numFmtId="0" fontId="8" fillId="0" borderId="3" xfId="0" applyFont="1" applyBorder="1" applyAlignment="1" applyProtection="1">
      <alignment horizontal="center" vertical="center"/>
      <protection locked="0" hidden="1"/>
    </xf>
    <xf numFmtId="0" fontId="5" fillId="0" borderId="25" xfId="0" applyFont="1" applyBorder="1" applyProtection="1">
      <alignment vertical="center"/>
      <protection locked="0" hidden="1"/>
    </xf>
    <xf numFmtId="0" fontId="36" fillId="0" borderId="12" xfId="0" applyFont="1" applyFill="1" applyBorder="1" applyAlignment="1" applyProtection="1">
      <alignment horizontal="center" vertical="center"/>
      <protection locked="0"/>
    </xf>
    <xf numFmtId="0" fontId="35" fillId="0" borderId="14" xfId="0" applyFont="1" applyFill="1" applyBorder="1" applyAlignment="1" applyProtection="1">
      <alignment horizontal="center" vertical="center"/>
      <protection locked="0"/>
    </xf>
    <xf numFmtId="0" fontId="37" fillId="3" borderId="82" xfId="0" applyFont="1" applyFill="1" applyBorder="1" applyAlignment="1">
      <alignment horizontal="center" vertical="center"/>
    </xf>
    <xf numFmtId="0" fontId="37" fillId="3" borderId="81" xfId="0" applyFont="1" applyFill="1" applyBorder="1" applyAlignment="1">
      <alignment horizontal="center" vertical="center"/>
    </xf>
    <xf numFmtId="0" fontId="37" fillId="3" borderId="72" xfId="0" applyFont="1" applyFill="1" applyBorder="1" applyAlignment="1">
      <alignment horizontal="center" vertical="center"/>
    </xf>
    <xf numFmtId="0" fontId="37" fillId="3" borderId="74" xfId="0" applyFont="1" applyFill="1" applyBorder="1" applyAlignment="1">
      <alignment horizontal="center" vertical="center"/>
    </xf>
    <xf numFmtId="0" fontId="37" fillId="3" borderId="73" xfId="0" applyFont="1" applyFill="1" applyBorder="1" applyAlignment="1">
      <alignment horizontal="center" vertical="center"/>
    </xf>
    <xf numFmtId="0" fontId="37" fillId="3" borderId="75" xfId="0" applyFont="1" applyFill="1" applyBorder="1" applyAlignment="1">
      <alignment horizontal="center" vertical="center"/>
    </xf>
    <xf numFmtId="0" fontId="37" fillId="3" borderId="70" xfId="0" applyFont="1" applyFill="1" applyBorder="1" applyAlignment="1">
      <alignment horizontal="center" vertical="center"/>
    </xf>
    <xf numFmtId="0" fontId="37" fillId="3" borderId="71" xfId="0" applyFont="1" applyFill="1" applyBorder="1" applyAlignment="1">
      <alignment horizontal="center" vertical="center"/>
    </xf>
    <xf numFmtId="0" fontId="37" fillId="3" borderId="69" xfId="0" applyFont="1" applyFill="1" applyBorder="1" applyAlignment="1">
      <alignment horizontal="center" vertical="center"/>
    </xf>
    <xf numFmtId="0" fontId="37" fillId="3" borderId="76" xfId="0" applyFont="1" applyFill="1" applyBorder="1" applyAlignment="1">
      <alignment horizontal="center" vertical="center"/>
    </xf>
    <xf numFmtId="0" fontId="37" fillId="3" borderId="78" xfId="0" applyFont="1" applyFill="1" applyBorder="1" applyAlignment="1">
      <alignment horizontal="center" vertical="center"/>
    </xf>
    <xf numFmtId="0" fontId="37" fillId="3" borderId="79" xfId="0" applyFont="1" applyFill="1" applyBorder="1" applyAlignment="1">
      <alignment horizontal="center" vertical="center"/>
    </xf>
    <xf numFmtId="0" fontId="37" fillId="3" borderId="0" xfId="0" applyFont="1" applyFill="1" applyBorder="1" applyAlignment="1">
      <alignment horizontal="center" vertical="center"/>
    </xf>
    <xf numFmtId="0" fontId="37" fillId="3" borderId="77" xfId="0" applyFont="1" applyFill="1" applyBorder="1" applyAlignment="1">
      <alignment horizontal="center" vertical="center"/>
    </xf>
    <xf numFmtId="0" fontId="37" fillId="3" borderId="80" xfId="0" applyFont="1" applyFill="1" applyBorder="1" applyAlignment="1">
      <alignment horizontal="center" vertical="center"/>
    </xf>
    <xf numFmtId="0" fontId="37" fillId="0" borderId="0" xfId="0" applyFont="1" applyFill="1">
      <alignment vertical="center"/>
    </xf>
    <xf numFmtId="0" fontId="37" fillId="0" borderId="0" xfId="0" applyFont="1">
      <alignment vertical="center"/>
    </xf>
    <xf numFmtId="0" fontId="5" fillId="0" borderId="1" xfId="0" applyFont="1" applyBorder="1" applyAlignment="1" applyProtection="1">
      <alignment horizontal="center" vertical="center"/>
      <protection locked="0" hidden="1"/>
    </xf>
    <xf numFmtId="178" fontId="7" fillId="0" borderId="15" xfId="0" applyNumberFormat="1" applyFont="1" applyFill="1" applyBorder="1" applyAlignment="1" applyProtection="1">
      <alignment horizontal="center" vertical="center"/>
      <protection locked="0" hidden="1"/>
    </xf>
    <xf numFmtId="178" fontId="7" fillId="0" borderId="5" xfId="0" applyNumberFormat="1" applyFont="1" applyFill="1" applyBorder="1" applyAlignment="1" applyProtection="1">
      <alignment horizontal="center" vertical="center"/>
      <protection locked="0" hidden="1"/>
    </xf>
    <xf numFmtId="178" fontId="8" fillId="0" borderId="25" xfId="0" applyNumberFormat="1" applyFont="1" applyBorder="1" applyProtection="1">
      <alignment vertical="center"/>
      <protection locked="0" hidden="1"/>
    </xf>
    <xf numFmtId="178" fontId="5" fillId="0" borderId="3" xfId="0" applyNumberFormat="1" applyFont="1" applyBorder="1" applyProtection="1">
      <alignment vertical="center"/>
      <protection locked="0" hidden="1"/>
    </xf>
    <xf numFmtId="178" fontId="5" fillId="0" borderId="5" xfId="0" applyNumberFormat="1" applyFont="1" applyBorder="1" applyProtection="1">
      <alignment vertical="center"/>
      <protection locked="0" hidden="1"/>
    </xf>
    <xf numFmtId="177" fontId="33" fillId="5" borderId="1" xfId="0" applyNumberFormat="1" applyFont="1" applyFill="1" applyBorder="1" applyAlignment="1">
      <alignment horizontal="right" vertical="center"/>
    </xf>
    <xf numFmtId="177" fontId="33" fillId="6" borderId="1" xfId="0" applyNumberFormat="1" applyFont="1" applyFill="1" applyBorder="1" applyAlignment="1">
      <alignment horizontal="right" vertical="center"/>
    </xf>
    <xf numFmtId="177" fontId="33" fillId="5" borderId="22" xfId="0" applyNumberFormat="1" applyFont="1" applyFill="1" applyBorder="1" applyAlignment="1">
      <alignment horizontal="right" vertical="center"/>
    </xf>
    <xf numFmtId="177" fontId="13" fillId="3" borderId="0" xfId="0" applyNumberFormat="1" applyFont="1" applyFill="1" applyAlignment="1">
      <alignment horizontal="right" vertical="center"/>
    </xf>
    <xf numFmtId="177" fontId="33" fillId="7" borderId="1" xfId="0" applyNumberFormat="1" applyFont="1" applyFill="1" applyBorder="1" applyAlignment="1">
      <alignment horizontal="right" vertical="center"/>
    </xf>
    <xf numFmtId="177" fontId="33" fillId="6" borderId="22" xfId="0" applyNumberFormat="1" applyFont="1" applyFill="1" applyBorder="1" applyAlignment="1">
      <alignment horizontal="right" vertical="center"/>
    </xf>
    <xf numFmtId="177" fontId="33" fillId="6" borderId="34" xfId="0" applyNumberFormat="1" applyFont="1" applyFill="1" applyBorder="1" applyAlignment="1">
      <alignment horizontal="right" vertical="center"/>
    </xf>
    <xf numFmtId="177" fontId="33" fillId="6" borderId="6" xfId="0" applyNumberFormat="1" applyFont="1" applyFill="1" applyBorder="1" applyAlignment="1">
      <alignment horizontal="right" vertical="center"/>
    </xf>
    <xf numFmtId="177" fontId="33" fillId="7" borderId="22" xfId="0" applyNumberFormat="1" applyFont="1" applyFill="1" applyBorder="1" applyAlignment="1">
      <alignment horizontal="right" vertical="center"/>
    </xf>
    <xf numFmtId="0" fontId="31" fillId="0" borderId="0" xfId="2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9" fillId="0" borderId="0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180" fontId="0" fillId="0" borderId="1" xfId="0" applyNumberFormat="1" applyBorder="1">
      <alignment vertical="center"/>
    </xf>
    <xf numFmtId="0" fontId="5" fillId="0" borderId="1" xfId="0" applyFont="1" applyFill="1" applyBorder="1" applyAlignment="1" applyProtection="1">
      <alignment horizontal="center" vertical="center"/>
    </xf>
    <xf numFmtId="0" fontId="11" fillId="3" borderId="33" xfId="0" applyFont="1" applyFill="1" applyBorder="1" applyAlignment="1">
      <alignment horizontal="left" vertical="center" indent="1"/>
    </xf>
    <xf numFmtId="0" fontId="11" fillId="3" borderId="31" xfId="0" applyFont="1" applyFill="1" applyBorder="1" applyAlignment="1">
      <alignment horizontal="left" vertical="center" indent="1"/>
    </xf>
    <xf numFmtId="0" fontId="11" fillId="3" borderId="85" xfId="0" applyFont="1" applyFill="1" applyBorder="1" applyAlignment="1">
      <alignment horizontal="center" vertical="center"/>
    </xf>
    <xf numFmtId="0" fontId="28" fillId="15" borderId="32" xfId="0" applyNumberFormat="1" applyFont="1" applyFill="1" applyBorder="1" applyAlignment="1">
      <alignment horizontal="left" vertical="center" indent="1"/>
    </xf>
    <xf numFmtId="0" fontId="28" fillId="15" borderId="65" xfId="0" applyNumberFormat="1" applyFont="1" applyFill="1" applyBorder="1" applyAlignment="1">
      <alignment horizontal="left" vertical="center" indent="1"/>
    </xf>
    <xf numFmtId="0" fontId="28" fillId="15" borderId="33" xfId="0" applyNumberFormat="1" applyFont="1" applyFill="1" applyBorder="1" applyAlignment="1">
      <alignment horizontal="left" vertical="center" indent="1"/>
    </xf>
    <xf numFmtId="0" fontId="38" fillId="2" borderId="83" xfId="0" applyFont="1" applyFill="1" applyBorder="1" applyAlignment="1">
      <alignment horizontal="center" vertical="center"/>
    </xf>
    <xf numFmtId="0" fontId="38" fillId="2" borderId="84" xfId="0" applyFont="1" applyFill="1" applyBorder="1" applyAlignment="1">
      <alignment horizontal="center" vertical="center"/>
    </xf>
    <xf numFmtId="0" fontId="25" fillId="4" borderId="32" xfId="0" applyFont="1" applyFill="1" applyBorder="1" applyAlignment="1">
      <alignment horizontal="center" vertical="center"/>
    </xf>
    <xf numFmtId="0" fontId="25" fillId="4" borderId="33" xfId="0" applyFont="1" applyFill="1" applyBorder="1" applyAlignment="1">
      <alignment horizontal="center" vertical="center"/>
    </xf>
    <xf numFmtId="0" fontId="25" fillId="8" borderId="32" xfId="0" applyFont="1" applyFill="1" applyBorder="1" applyAlignment="1">
      <alignment horizontal="center" vertical="center"/>
    </xf>
    <xf numFmtId="0" fontId="25" fillId="8" borderId="33" xfId="0" applyFont="1" applyFill="1" applyBorder="1" applyAlignment="1">
      <alignment horizontal="center" vertical="center"/>
    </xf>
    <xf numFmtId="0" fontId="28" fillId="12" borderId="25" xfId="0" applyFont="1" applyFill="1" applyBorder="1" applyAlignment="1">
      <alignment horizontal="center" vertical="center"/>
    </xf>
    <xf numFmtId="0" fontId="31" fillId="12" borderId="25" xfId="2" applyFont="1" applyFill="1" applyBorder="1" applyAlignment="1">
      <alignment horizontal="center" vertical="center"/>
    </xf>
    <xf numFmtId="0" fontId="27" fillId="9" borderId="25" xfId="0" applyFont="1" applyFill="1" applyBorder="1" applyAlignment="1">
      <alignment horizontal="center" vertical="center"/>
    </xf>
    <xf numFmtId="0" fontId="32" fillId="11" borderId="32" xfId="0" applyFont="1" applyFill="1" applyBorder="1" applyAlignment="1">
      <alignment horizontal="left" vertical="center"/>
    </xf>
    <xf numFmtId="0" fontId="32" fillId="11" borderId="65" xfId="0" applyFont="1" applyFill="1" applyBorder="1" applyAlignment="1">
      <alignment horizontal="left" vertical="center"/>
    </xf>
    <xf numFmtId="0" fontId="32" fillId="11" borderId="33" xfId="0" applyFont="1" applyFill="1" applyBorder="1" applyAlignment="1">
      <alignment horizontal="left" vertical="center"/>
    </xf>
    <xf numFmtId="0" fontId="31" fillId="10" borderId="32" xfId="2" applyFont="1" applyFill="1" applyBorder="1" applyAlignment="1">
      <alignment horizontal="center" vertical="center"/>
    </xf>
    <xf numFmtId="0" fontId="31" fillId="10" borderId="65" xfId="2" applyFont="1" applyFill="1" applyBorder="1" applyAlignment="1">
      <alignment horizontal="center" vertical="center"/>
    </xf>
    <xf numFmtId="0" fontId="31" fillId="10" borderId="33" xfId="2" applyFont="1" applyFill="1" applyBorder="1" applyAlignment="1">
      <alignment horizontal="center" vertical="center"/>
    </xf>
    <xf numFmtId="0" fontId="30" fillId="13" borderId="63" xfId="0" applyFont="1" applyFill="1" applyBorder="1" applyAlignment="1">
      <alignment horizontal="center" vertical="center" wrapText="1"/>
    </xf>
    <xf numFmtId="0" fontId="30" fillId="13" borderId="66" xfId="0" applyFont="1" applyFill="1" applyBorder="1" applyAlignment="1">
      <alignment horizontal="center" vertical="center" wrapText="1"/>
    </xf>
    <xf numFmtId="0" fontId="30" fillId="13" borderId="64" xfId="0" applyFont="1" applyFill="1" applyBorder="1" applyAlignment="1">
      <alignment horizontal="center" vertical="center" wrapText="1"/>
    </xf>
    <xf numFmtId="0" fontId="30" fillId="13" borderId="28" xfId="0" applyFont="1" applyFill="1" applyBorder="1" applyAlignment="1">
      <alignment horizontal="center" vertical="center" wrapText="1"/>
    </xf>
    <xf numFmtId="0" fontId="30" fillId="13" borderId="0" xfId="0" applyFont="1" applyFill="1" applyBorder="1" applyAlignment="1">
      <alignment horizontal="center" vertical="center" wrapText="1"/>
    </xf>
    <xf numFmtId="0" fontId="30" fillId="13" borderId="29" xfId="0" applyFont="1" applyFill="1" applyBorder="1" applyAlignment="1">
      <alignment horizontal="center" vertical="center" wrapText="1"/>
    </xf>
    <xf numFmtId="0" fontId="30" fillId="13" borderId="30" xfId="0" applyFont="1" applyFill="1" applyBorder="1" applyAlignment="1">
      <alignment horizontal="center" vertical="center" wrapText="1"/>
    </xf>
    <xf numFmtId="0" fontId="30" fillId="13" borderId="67" xfId="0" applyFont="1" applyFill="1" applyBorder="1" applyAlignment="1">
      <alignment horizontal="center" vertical="center" wrapText="1"/>
    </xf>
    <xf numFmtId="0" fontId="30" fillId="13" borderId="31" xfId="0" applyFont="1" applyFill="1" applyBorder="1" applyAlignment="1">
      <alignment horizontal="center" vertical="center" wrapText="1"/>
    </xf>
    <xf numFmtId="0" fontId="32" fillId="14" borderId="32" xfId="0" applyFont="1" applyFill="1" applyBorder="1" applyAlignment="1">
      <alignment horizontal="left" vertical="center"/>
    </xf>
    <xf numFmtId="0" fontId="32" fillId="14" borderId="65" xfId="0" applyFont="1" applyFill="1" applyBorder="1" applyAlignment="1">
      <alignment horizontal="left" vertical="center"/>
    </xf>
    <xf numFmtId="0" fontId="32" fillId="14" borderId="33" xfId="0" applyFont="1" applyFill="1" applyBorder="1" applyAlignment="1">
      <alignment horizontal="left" vertical="center"/>
    </xf>
    <xf numFmtId="177" fontId="14" fillId="3" borderId="55" xfId="0" applyNumberFormat="1" applyFont="1" applyFill="1" applyBorder="1" applyAlignment="1">
      <alignment horizontal="center" vertical="center"/>
    </xf>
    <xf numFmtId="177" fontId="14" fillId="3" borderId="56" xfId="0" applyNumberFormat="1" applyFont="1" applyFill="1" applyBorder="1" applyAlignment="1">
      <alignment horizontal="center" vertical="center"/>
    </xf>
    <xf numFmtId="177" fontId="15" fillId="3" borderId="57" xfId="0" applyNumberFormat="1" applyFont="1" applyFill="1" applyBorder="1" applyAlignment="1">
      <alignment horizontal="center" vertical="center"/>
    </xf>
    <xf numFmtId="177" fontId="15" fillId="3" borderId="58" xfId="0" applyNumberFormat="1" applyFont="1" applyFill="1" applyBorder="1" applyAlignment="1">
      <alignment horizontal="center" vertical="center"/>
    </xf>
    <xf numFmtId="177" fontId="16" fillId="3" borderId="59" xfId="0" applyNumberFormat="1" applyFont="1" applyFill="1" applyBorder="1" applyAlignment="1">
      <alignment horizontal="center" vertical="center"/>
    </xf>
    <xf numFmtId="177" fontId="16" fillId="3" borderId="60" xfId="0" applyNumberFormat="1" applyFont="1" applyFill="1" applyBorder="1" applyAlignment="1">
      <alignment horizontal="center" vertical="center"/>
    </xf>
    <xf numFmtId="177" fontId="14" fillId="3" borderId="37" xfId="0" applyNumberFormat="1" applyFont="1" applyFill="1" applyBorder="1" applyAlignment="1">
      <alignment horizontal="center" vertical="center"/>
    </xf>
    <xf numFmtId="177" fontId="15" fillId="3" borderId="40" xfId="0" applyNumberFormat="1" applyFont="1" applyFill="1" applyBorder="1" applyAlignment="1">
      <alignment horizontal="center" vertical="center"/>
    </xf>
    <xf numFmtId="177" fontId="16" fillId="3" borderId="43" xfId="0" applyNumberFormat="1" applyFont="1" applyFill="1" applyBorder="1" applyAlignment="1">
      <alignment horizontal="center" vertical="center"/>
    </xf>
    <xf numFmtId="177" fontId="14" fillId="3" borderId="38" xfId="0" applyNumberFormat="1" applyFont="1" applyFill="1" applyBorder="1" applyAlignment="1">
      <alignment horizontal="center" vertical="center"/>
    </xf>
    <xf numFmtId="177" fontId="14" fillId="3" borderId="39" xfId="0" applyNumberFormat="1" applyFont="1" applyFill="1" applyBorder="1" applyAlignment="1">
      <alignment horizontal="center" vertical="center"/>
    </xf>
    <xf numFmtId="177" fontId="15" fillId="3" borderId="41" xfId="0" applyNumberFormat="1" applyFont="1" applyFill="1" applyBorder="1" applyAlignment="1">
      <alignment horizontal="center" vertical="center"/>
    </xf>
    <xf numFmtId="177" fontId="15" fillId="3" borderId="42" xfId="0" applyNumberFormat="1" applyFont="1" applyFill="1" applyBorder="1" applyAlignment="1">
      <alignment horizontal="center" vertical="center"/>
    </xf>
    <xf numFmtId="177" fontId="16" fillId="3" borderId="44" xfId="0" applyNumberFormat="1" applyFont="1" applyFill="1" applyBorder="1" applyAlignment="1">
      <alignment horizontal="center" vertical="center"/>
    </xf>
    <xf numFmtId="177" fontId="16" fillId="3" borderId="45" xfId="0" applyNumberFormat="1" applyFont="1" applyFill="1" applyBorder="1" applyAlignment="1">
      <alignment horizontal="center" vertical="center"/>
    </xf>
    <xf numFmtId="0" fontId="13" fillId="0" borderId="35" xfId="0" applyFont="1" applyFill="1" applyBorder="1" applyAlignment="1">
      <alignment horizontal="center" vertical="center"/>
    </xf>
    <xf numFmtId="0" fontId="13" fillId="0" borderId="26" xfId="0" applyFont="1" applyFill="1" applyBorder="1" applyAlignment="1">
      <alignment horizontal="center" vertical="center"/>
    </xf>
    <xf numFmtId="0" fontId="13" fillId="0" borderId="36" xfId="0" applyFont="1" applyFill="1" applyBorder="1" applyAlignment="1">
      <alignment horizontal="center" vertical="center"/>
    </xf>
    <xf numFmtId="0" fontId="13" fillId="3" borderId="49" xfId="0" applyFont="1" applyFill="1" applyBorder="1" applyAlignment="1">
      <alignment horizontal="center" vertical="center"/>
    </xf>
    <xf numFmtId="0" fontId="13" fillId="3" borderId="50" xfId="0" applyFont="1" applyFill="1" applyBorder="1" applyAlignment="1">
      <alignment horizontal="center" vertical="center"/>
    </xf>
    <xf numFmtId="0" fontId="13" fillId="3" borderId="51" xfId="0" applyFont="1" applyFill="1" applyBorder="1" applyAlignment="1">
      <alignment horizontal="center" vertical="center"/>
    </xf>
    <xf numFmtId="0" fontId="5" fillId="0" borderId="32" xfId="0" applyFont="1" applyBorder="1" applyAlignment="1" applyProtection="1">
      <alignment horizontal="center" vertical="center"/>
      <protection locked="0" hidden="1"/>
    </xf>
    <xf numFmtId="0" fontId="5" fillId="0" borderId="65" xfId="0" applyFont="1" applyBorder="1" applyAlignment="1" applyProtection="1">
      <alignment horizontal="center" vertical="center"/>
      <protection locked="0" hidden="1"/>
    </xf>
    <xf numFmtId="0" fontId="5" fillId="0" borderId="33" xfId="0" applyFont="1" applyBorder="1" applyAlignment="1" applyProtection="1">
      <alignment horizontal="center" vertical="center"/>
      <protection locked="0" hidden="1"/>
    </xf>
    <xf numFmtId="0" fontId="5" fillId="0" borderId="1" xfId="0" applyFont="1" applyBorder="1" applyAlignment="1" applyProtection="1">
      <alignment horizontal="center" vertical="center"/>
      <protection locked="0" hidden="1"/>
    </xf>
    <xf numFmtId="0" fontId="8" fillId="0" borderId="1" xfId="0" applyFont="1" applyFill="1" applyBorder="1" applyAlignment="1" applyProtection="1">
      <alignment horizontal="center" vertical="center"/>
      <protection locked="0" hidden="1"/>
    </xf>
    <xf numFmtId="0" fontId="35" fillId="0" borderId="16" xfId="0" applyFont="1" applyFill="1" applyBorder="1" applyAlignment="1" applyProtection="1">
      <alignment horizontal="center" vertical="center"/>
      <protection locked="0"/>
    </xf>
    <xf numFmtId="0" fontId="35" fillId="0" borderId="68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</cellXfs>
  <cellStyles count="3">
    <cellStyle name="표준" xfId="0" builtinId="0"/>
    <cellStyle name="표준 3 2" xfId="1"/>
    <cellStyle name="하이퍼링크" xfId="2" builtinId="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99FF"/>
      <color rgb="FF8064A2"/>
      <color rgb="FFCCC0D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Style="combo" dx="16" fmlaLink="계산탭!$E$3" fmlaRange="$P$4:$P$13" noThreeD="1" val="0"/>
</file>

<file path=xl/ctrlProps/ctrlProp2.xml><?xml version="1.0" encoding="utf-8"?>
<formControlPr xmlns="http://schemas.microsoft.com/office/spreadsheetml/2009/9/main" objectType="Drop" dropStyle="combo" dx="16" fmlaLink="계산탭!$F$3" fmlaRange="$P$4:$P$13" noThreeD="1" sel="4" val="2"/>
</file>

<file path=xl/ctrlProps/ctrlProp3.xml><?xml version="1.0" encoding="utf-8"?>
<formControlPr xmlns="http://schemas.microsoft.com/office/spreadsheetml/2009/9/main" objectType="Drop" dropStyle="combo" dx="16" fmlaLink="계산탭!$G$3" fmlaRange="$R$4:$R$12" noThreeD="1" val="0"/>
</file>

<file path=xl/ctrlProps/ctrlProp4.xml><?xml version="1.0" encoding="utf-8"?>
<formControlPr xmlns="http://schemas.microsoft.com/office/spreadsheetml/2009/9/main" objectType="Drop" dropStyle="combo" dx="16" fmlaLink="계산탭!$E$37" fmlaRange="$Q$4:$Q$11" noThreeD="1" sel="3" val="0"/>
</file>

<file path=xl/ctrlProps/ctrlProp5.xml><?xml version="1.0" encoding="utf-8"?>
<formControlPr xmlns="http://schemas.microsoft.com/office/spreadsheetml/2009/9/main" objectType="Drop" dropStyle="combo" dx="16" fmlaLink="계산탭!$F$37" fmlaRange="$Q$4:$Q$11" noThreeD="1" sel="6" val="0"/>
</file>

<file path=xl/ctrlProps/ctrlProp6.xml><?xml version="1.0" encoding="utf-8"?>
<formControlPr xmlns="http://schemas.microsoft.com/office/spreadsheetml/2009/9/main" objectType="Drop" dropStyle="combo" dx="16" fmlaLink="계산탭!$G$37" fmlaRange="$R$4:$R$12" noThreeD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9525</xdr:rowOff>
        </xdr:from>
        <xdr:to>
          <xdr:col>1</xdr:col>
          <xdr:colOff>676275</xdr:colOff>
          <xdr:row>6</xdr:row>
          <xdr:rowOff>219075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</xdr:row>
          <xdr:rowOff>9525</xdr:rowOff>
        </xdr:from>
        <xdr:to>
          <xdr:col>1</xdr:col>
          <xdr:colOff>676275</xdr:colOff>
          <xdr:row>7</xdr:row>
          <xdr:rowOff>219075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</xdr:row>
          <xdr:rowOff>9525</xdr:rowOff>
        </xdr:from>
        <xdr:to>
          <xdr:col>1</xdr:col>
          <xdr:colOff>676275</xdr:colOff>
          <xdr:row>8</xdr:row>
          <xdr:rowOff>219075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21</xdr:row>
          <xdr:rowOff>9525</xdr:rowOff>
        </xdr:from>
        <xdr:to>
          <xdr:col>1</xdr:col>
          <xdr:colOff>676275</xdr:colOff>
          <xdr:row>21</xdr:row>
          <xdr:rowOff>219075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22</xdr:row>
          <xdr:rowOff>9525</xdr:rowOff>
        </xdr:from>
        <xdr:to>
          <xdr:col>1</xdr:col>
          <xdr:colOff>676275</xdr:colOff>
          <xdr:row>22</xdr:row>
          <xdr:rowOff>219075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</xdr:row>
          <xdr:rowOff>9525</xdr:rowOff>
        </xdr:from>
        <xdr:to>
          <xdr:col>1</xdr:col>
          <xdr:colOff>676275</xdr:colOff>
          <xdr:row>23</xdr:row>
          <xdr:rowOff>219075</xdr:rowOff>
        </xdr:to>
        <xdr:sp macro="" textlink="">
          <xdr:nvSpPr>
            <xdr:cNvPr id="1031" name="Drop Down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afe.daum.net/ewhalady" TargetMode="External"/><Relationship Id="rId1" Type="http://schemas.openxmlformats.org/officeDocument/2006/relationships/hyperlink" Target="http://cafe.daum.net/Khuholic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6"/>
  <sheetViews>
    <sheetView tabSelected="1" workbookViewId="0">
      <selection activeCell="B2" sqref="B2:C2"/>
    </sheetView>
  </sheetViews>
  <sheetFormatPr defaultRowHeight="13.5" x14ac:dyDescent="0.3"/>
  <cols>
    <col min="1" max="1" width="9" style="8"/>
    <col min="2" max="2" width="15" style="8" bestFit="1" customWidth="1"/>
    <col min="3" max="3" width="58.375" style="8" bestFit="1" customWidth="1"/>
    <col min="4" max="16384" width="9" style="8"/>
  </cols>
  <sheetData>
    <row r="1" spans="2:9" ht="14.25" thickBot="1" x14ac:dyDescent="0.35"/>
    <row r="2" spans="2:9" ht="21" thickBot="1" x14ac:dyDescent="0.35">
      <c r="B2" s="151" t="s">
        <v>177</v>
      </c>
      <c r="C2" s="152"/>
    </row>
    <row r="3" spans="2:9" ht="14.25" customHeight="1" thickBot="1" x14ac:dyDescent="0.35">
      <c r="B3" s="35" t="s">
        <v>178</v>
      </c>
      <c r="C3" s="36" t="s">
        <v>179</v>
      </c>
    </row>
    <row r="4" spans="2:9" ht="14.25" customHeight="1" thickBot="1" x14ac:dyDescent="0.35">
      <c r="B4" s="35" t="s">
        <v>271</v>
      </c>
      <c r="C4" s="36" t="s">
        <v>272</v>
      </c>
    </row>
    <row r="5" spans="2:9" ht="14.25" customHeight="1" thickBot="1" x14ac:dyDescent="0.35">
      <c r="B5" s="35" t="s">
        <v>164</v>
      </c>
      <c r="C5" s="36" t="s">
        <v>180</v>
      </c>
      <c r="E5" s="157" t="s">
        <v>238</v>
      </c>
      <c r="F5" s="157"/>
      <c r="G5" s="157"/>
      <c r="H5" s="157"/>
      <c r="I5" s="157"/>
    </row>
    <row r="6" spans="2:9" ht="14.25" customHeight="1" thickBot="1" x14ac:dyDescent="0.35">
      <c r="B6" s="35" t="s">
        <v>165</v>
      </c>
      <c r="C6" s="36" t="s">
        <v>181</v>
      </c>
      <c r="E6" s="157"/>
      <c r="F6" s="157"/>
      <c r="G6" s="157"/>
      <c r="H6" s="157"/>
      <c r="I6" s="157"/>
    </row>
    <row r="7" spans="2:9" ht="14.25" customHeight="1" thickBot="1" x14ac:dyDescent="0.35">
      <c r="B7" s="35" t="s">
        <v>166</v>
      </c>
      <c r="C7" s="36" t="s">
        <v>240</v>
      </c>
      <c r="E7" s="157"/>
      <c r="F7" s="157"/>
      <c r="G7" s="157"/>
      <c r="H7" s="157"/>
      <c r="I7" s="157"/>
    </row>
    <row r="8" spans="2:9" ht="14.25" customHeight="1" thickBot="1" x14ac:dyDescent="0.35">
      <c r="B8" s="37" t="s">
        <v>167</v>
      </c>
      <c r="C8" s="38" t="s">
        <v>182</v>
      </c>
      <c r="E8" s="155" t="s">
        <v>234</v>
      </c>
      <c r="F8" s="155"/>
      <c r="G8" s="155"/>
      <c r="H8" s="155"/>
      <c r="I8" s="155"/>
    </row>
    <row r="9" spans="2:9" ht="14.25" customHeight="1" thickBot="1" x14ac:dyDescent="0.35">
      <c r="B9" s="35" t="s">
        <v>183</v>
      </c>
      <c r="C9" s="36" t="s">
        <v>241</v>
      </c>
      <c r="E9" s="156" t="s">
        <v>237</v>
      </c>
      <c r="F9" s="156"/>
      <c r="G9" s="156"/>
      <c r="H9" s="156"/>
      <c r="I9" s="156"/>
    </row>
    <row r="10" spans="2:9" ht="14.25" customHeight="1" thickBot="1" x14ac:dyDescent="0.35">
      <c r="B10" s="37" t="s">
        <v>168</v>
      </c>
      <c r="C10" s="38" t="s">
        <v>172</v>
      </c>
      <c r="E10" s="43"/>
      <c r="F10" s="43"/>
      <c r="G10" s="43"/>
      <c r="H10" s="43"/>
      <c r="I10" s="43"/>
    </row>
    <row r="11" spans="2:9" ht="14.25" customHeight="1" thickBot="1" x14ac:dyDescent="0.35">
      <c r="B11" s="35" t="s">
        <v>169</v>
      </c>
      <c r="C11" s="36" t="s">
        <v>173</v>
      </c>
      <c r="E11" s="43"/>
      <c r="F11" s="43"/>
      <c r="G11" s="43"/>
      <c r="H11" s="43"/>
      <c r="I11" s="43"/>
    </row>
    <row r="12" spans="2:9" ht="14.25" customHeight="1" x14ac:dyDescent="0.3">
      <c r="B12" s="37" t="s">
        <v>184</v>
      </c>
      <c r="C12" s="38" t="s">
        <v>174</v>
      </c>
      <c r="E12" s="43"/>
      <c r="F12" s="43"/>
      <c r="G12" s="43"/>
      <c r="H12" s="43"/>
      <c r="I12" s="43"/>
    </row>
    <row r="13" spans="2:9" ht="14.25" customHeight="1" thickBot="1" x14ac:dyDescent="0.35">
      <c r="B13" s="37"/>
      <c r="C13" s="38" t="s">
        <v>175</v>
      </c>
      <c r="E13" s="43"/>
      <c r="F13" s="43"/>
      <c r="G13" s="43"/>
      <c r="H13" s="43"/>
      <c r="I13" s="43"/>
    </row>
    <row r="14" spans="2:9" ht="14.25" customHeight="1" thickBot="1" x14ac:dyDescent="0.35">
      <c r="B14" s="35" t="s">
        <v>170</v>
      </c>
      <c r="C14" s="36" t="s">
        <v>176</v>
      </c>
      <c r="E14" s="158" t="s">
        <v>235</v>
      </c>
      <c r="F14" s="159"/>
      <c r="G14" s="159"/>
      <c r="H14" s="159"/>
      <c r="I14" s="160"/>
    </row>
    <row r="15" spans="2:9" ht="14.25" customHeight="1" thickBot="1" x14ac:dyDescent="0.35">
      <c r="B15" s="39" t="s">
        <v>171</v>
      </c>
      <c r="C15" s="40" t="s">
        <v>273</v>
      </c>
      <c r="E15" s="164" t="s">
        <v>239</v>
      </c>
      <c r="F15" s="165"/>
      <c r="G15" s="165"/>
      <c r="H15" s="165"/>
      <c r="I15" s="166"/>
    </row>
    <row r="16" spans="2:9" ht="14.25" customHeight="1" thickBot="1" x14ac:dyDescent="0.35">
      <c r="B16" s="39" t="s">
        <v>253</v>
      </c>
      <c r="C16" s="40" t="s">
        <v>274</v>
      </c>
      <c r="E16" s="167"/>
      <c r="F16" s="168"/>
      <c r="G16" s="168"/>
      <c r="H16" s="168"/>
      <c r="I16" s="169"/>
    </row>
    <row r="17" spans="2:9" ht="14.25" customHeight="1" thickBot="1" x14ac:dyDescent="0.35">
      <c r="B17" s="35" t="s">
        <v>288</v>
      </c>
      <c r="C17" s="36" t="s">
        <v>287</v>
      </c>
      <c r="E17" s="170"/>
      <c r="F17" s="171"/>
      <c r="G17" s="171"/>
      <c r="H17" s="171"/>
      <c r="I17" s="172"/>
    </row>
    <row r="18" spans="2:9" ht="14.25" customHeight="1" thickBot="1" x14ac:dyDescent="0.35">
      <c r="E18" s="161" t="s">
        <v>314</v>
      </c>
      <c r="F18" s="162"/>
      <c r="G18" s="162"/>
      <c r="H18" s="162"/>
      <c r="I18" s="163"/>
    </row>
    <row r="19" spans="2:9" ht="14.25" customHeight="1" x14ac:dyDescent="0.3">
      <c r="E19" s="133"/>
      <c r="F19" s="133"/>
      <c r="G19" s="133"/>
      <c r="H19" s="133"/>
      <c r="I19" s="133"/>
    </row>
    <row r="20" spans="2:9" ht="14.25" thickBot="1" x14ac:dyDescent="0.35"/>
    <row r="21" spans="2:9" ht="21" customHeight="1" thickBot="1" x14ac:dyDescent="0.35">
      <c r="B21" s="153" t="s">
        <v>232</v>
      </c>
      <c r="C21" s="154"/>
    </row>
    <row r="22" spans="2:9" ht="14.25" customHeight="1" thickBot="1" x14ac:dyDescent="0.35">
      <c r="B22" s="42" t="s">
        <v>236</v>
      </c>
      <c r="C22" s="41" t="s">
        <v>233</v>
      </c>
      <c r="E22" s="173" t="s">
        <v>248</v>
      </c>
      <c r="F22" s="174"/>
      <c r="G22" s="174"/>
      <c r="H22" s="174"/>
      <c r="I22" s="175"/>
    </row>
    <row r="23" spans="2:9" ht="14.25" customHeight="1" thickBot="1" x14ac:dyDescent="0.35">
      <c r="B23" s="42" t="s">
        <v>242</v>
      </c>
      <c r="C23" s="41" t="s">
        <v>243</v>
      </c>
      <c r="E23" s="146" t="s">
        <v>249</v>
      </c>
      <c r="F23" s="147"/>
      <c r="G23" s="147"/>
      <c r="H23" s="147"/>
      <c r="I23" s="148"/>
    </row>
    <row r="24" spans="2:9" ht="14.25" customHeight="1" thickBot="1" x14ac:dyDescent="0.35">
      <c r="B24" s="42" t="s">
        <v>244</v>
      </c>
      <c r="C24" s="41" t="s">
        <v>245</v>
      </c>
      <c r="E24" s="146" t="s">
        <v>250</v>
      </c>
      <c r="F24" s="147"/>
      <c r="G24" s="147"/>
      <c r="H24" s="147"/>
      <c r="I24" s="148"/>
    </row>
    <row r="25" spans="2:9" ht="14.25" customHeight="1" thickBot="1" x14ac:dyDescent="0.35">
      <c r="B25" s="42" t="s">
        <v>269</v>
      </c>
      <c r="C25" s="41" t="s">
        <v>270</v>
      </c>
      <c r="E25" s="146" t="s">
        <v>251</v>
      </c>
      <c r="F25" s="147"/>
      <c r="G25" s="147"/>
      <c r="H25" s="147"/>
      <c r="I25" s="148"/>
    </row>
    <row r="26" spans="2:9" ht="14.25" customHeight="1" thickBot="1" x14ac:dyDescent="0.35">
      <c r="B26" s="42" t="s">
        <v>289</v>
      </c>
      <c r="C26" s="41" t="s">
        <v>303</v>
      </c>
      <c r="E26" s="146" t="s">
        <v>252</v>
      </c>
      <c r="F26" s="147"/>
      <c r="G26" s="147"/>
      <c r="H26" s="147"/>
      <c r="I26" s="148"/>
    </row>
    <row r="27" spans="2:9" ht="14.25" customHeight="1" thickBot="1" x14ac:dyDescent="0.35">
      <c r="B27" s="42" t="s">
        <v>305</v>
      </c>
      <c r="C27" s="41" t="s">
        <v>307</v>
      </c>
      <c r="E27" s="146" t="s">
        <v>290</v>
      </c>
      <c r="F27" s="147"/>
      <c r="G27" s="147"/>
      <c r="H27" s="147"/>
      <c r="I27" s="148"/>
    </row>
    <row r="28" spans="2:9" ht="14.25" customHeight="1" thickBot="1" x14ac:dyDescent="0.35">
      <c r="B28" s="42" t="s">
        <v>308</v>
      </c>
      <c r="C28" s="41" t="s">
        <v>321</v>
      </c>
      <c r="E28" s="146" t="s">
        <v>292</v>
      </c>
      <c r="F28" s="147"/>
      <c r="G28" s="147"/>
      <c r="H28" s="147"/>
      <c r="I28" s="148"/>
    </row>
    <row r="29" spans="2:9" ht="17.25" thickBot="1" x14ac:dyDescent="0.35">
      <c r="B29" s="42" t="s">
        <v>322</v>
      </c>
      <c r="C29" s="41" t="s">
        <v>323</v>
      </c>
      <c r="E29" s="146" t="s">
        <v>320</v>
      </c>
      <c r="F29" s="147"/>
      <c r="G29" s="147"/>
      <c r="H29" s="147"/>
      <c r="I29" s="148"/>
    </row>
    <row r="31" spans="2:9" ht="14.25" thickBot="1" x14ac:dyDescent="0.35"/>
    <row r="32" spans="2:9" ht="21" thickBot="1" x14ac:dyDescent="0.35">
      <c r="B32" s="149" t="s">
        <v>309</v>
      </c>
      <c r="C32" s="150"/>
    </row>
    <row r="33" spans="2:3" ht="14.25" thickBot="1" x14ac:dyDescent="0.35">
      <c r="B33" s="42" t="s">
        <v>310</v>
      </c>
      <c r="C33" s="143" t="s">
        <v>316</v>
      </c>
    </row>
    <row r="34" spans="2:3" ht="14.25" thickBot="1" x14ac:dyDescent="0.35">
      <c r="B34" s="42" t="s">
        <v>312</v>
      </c>
      <c r="C34" s="143" t="s">
        <v>315</v>
      </c>
    </row>
    <row r="35" spans="2:3" ht="14.25" thickBot="1" x14ac:dyDescent="0.35">
      <c r="B35" s="42" t="s">
        <v>313</v>
      </c>
      <c r="C35" s="143" t="s">
        <v>317</v>
      </c>
    </row>
    <row r="36" spans="2:3" ht="14.25" thickBot="1" x14ac:dyDescent="0.35">
      <c r="B36" s="145" t="s">
        <v>311</v>
      </c>
      <c r="C36" s="144" t="s">
        <v>318</v>
      </c>
    </row>
  </sheetData>
  <mergeCells count="17">
    <mergeCell ref="E22:I22"/>
    <mergeCell ref="E23:I23"/>
    <mergeCell ref="E24:I24"/>
    <mergeCell ref="E25:I25"/>
    <mergeCell ref="B2:C2"/>
    <mergeCell ref="B21:C21"/>
    <mergeCell ref="E8:I8"/>
    <mergeCell ref="E9:I9"/>
    <mergeCell ref="E5:I7"/>
    <mergeCell ref="E14:I14"/>
    <mergeCell ref="E18:I18"/>
    <mergeCell ref="E15:I17"/>
    <mergeCell ref="E26:I26"/>
    <mergeCell ref="E29:I29"/>
    <mergeCell ref="B32:C32"/>
    <mergeCell ref="E27:I27"/>
    <mergeCell ref="E28:I28"/>
  </mergeCells>
  <phoneticPr fontId="1" type="noConversion"/>
  <hyperlinks>
    <hyperlink ref="E9:I9" r:id="rId1" display="(http://cafe.daum.net/Khuholic)"/>
    <hyperlink ref="E18:I18" r:id="rId2" display="(http://cafe.daum.net/ewhalady)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U54"/>
  <sheetViews>
    <sheetView zoomScale="85" zoomScaleNormal="85" workbookViewId="0">
      <selection activeCell="C19" sqref="C19"/>
    </sheetView>
  </sheetViews>
  <sheetFormatPr defaultRowHeight="18" customHeight="1" x14ac:dyDescent="0.3"/>
  <cols>
    <col min="1" max="1" width="9" style="8" customWidth="1"/>
    <col min="2" max="2" width="9" style="8"/>
    <col min="3" max="3" width="10.75" style="8" bestFit="1" customWidth="1"/>
    <col min="4" max="4" width="8.5" style="8" bestFit="1" customWidth="1"/>
    <col min="5" max="6" width="9" style="8"/>
    <col min="7" max="7" width="20.25" style="9" customWidth="1"/>
    <col min="8" max="8" width="12.625" style="127" customWidth="1"/>
    <col min="9" max="9" width="15.875" style="9" customWidth="1"/>
    <col min="10" max="10" width="11.875" style="127" bestFit="1" customWidth="1"/>
    <col min="11" max="11" width="16" style="9" customWidth="1"/>
    <col min="12" max="12" width="11.875" style="127" bestFit="1" customWidth="1"/>
    <col min="13" max="15" width="9" style="8"/>
    <col min="16" max="18" width="9.375" style="8" hidden="1" customWidth="1"/>
    <col min="19" max="21" width="0" style="8" hidden="1" customWidth="1"/>
    <col min="22" max="16384" width="9" style="8"/>
  </cols>
  <sheetData>
    <row r="2" spans="2:21" ht="18" customHeight="1" thickBot="1" x14ac:dyDescent="0.35">
      <c r="B2" s="191" t="s">
        <v>220</v>
      </c>
      <c r="C2" s="192"/>
      <c r="D2" s="193"/>
      <c r="G2" s="185" t="s">
        <v>221</v>
      </c>
      <c r="H2" s="186"/>
      <c r="I2" s="187" t="s">
        <v>222</v>
      </c>
      <c r="J2" s="188"/>
      <c r="K2" s="189" t="s">
        <v>223</v>
      </c>
      <c r="L2" s="190"/>
      <c r="P2" s="10" t="s">
        <v>9</v>
      </c>
      <c r="Q2" s="10" t="s">
        <v>224</v>
      </c>
      <c r="R2" s="10" t="s">
        <v>12</v>
      </c>
    </row>
    <row r="3" spans="2:21" ht="18" customHeight="1" thickTop="1" x14ac:dyDescent="0.3">
      <c r="B3" s="11"/>
      <c r="C3" s="12" t="s">
        <v>225</v>
      </c>
      <c r="D3" s="12" t="s">
        <v>226</v>
      </c>
      <c r="G3" s="13" t="s">
        <v>227</v>
      </c>
      <c r="H3" s="126">
        <f>계산탭!H12</f>
        <v>477.29500000000002</v>
      </c>
      <c r="I3" s="14" t="s">
        <v>227</v>
      </c>
      <c r="J3" s="129">
        <f>H3</f>
        <v>477.29500000000002</v>
      </c>
      <c r="K3" s="15" t="s">
        <v>28</v>
      </c>
      <c r="L3" s="132">
        <f>계산탭!H11</f>
        <v>1000</v>
      </c>
      <c r="P3" s="16" t="s">
        <v>36</v>
      </c>
      <c r="Q3" s="16" t="s">
        <v>228</v>
      </c>
      <c r="R3" s="16" t="s">
        <v>36</v>
      </c>
    </row>
    <row r="4" spans="2:21" ht="18" customHeight="1" x14ac:dyDescent="0.3">
      <c r="B4" s="17" t="s">
        <v>229</v>
      </c>
      <c r="C4" s="18">
        <v>131</v>
      </c>
      <c r="D4" s="18">
        <v>100</v>
      </c>
      <c r="G4" s="7" t="s">
        <v>15</v>
      </c>
      <c r="H4" s="124">
        <f>계산탭!H13</f>
        <v>630</v>
      </c>
      <c r="I4" s="19" t="s">
        <v>20</v>
      </c>
      <c r="J4" s="125">
        <f>계산탭!H17</f>
        <v>409.5</v>
      </c>
      <c r="K4" s="24" t="s">
        <v>19</v>
      </c>
      <c r="L4" s="128">
        <f>계산탭!H16</f>
        <v>609</v>
      </c>
      <c r="P4" s="21" t="s">
        <v>230</v>
      </c>
      <c r="Q4" s="21" t="s">
        <v>231</v>
      </c>
      <c r="R4" s="21" t="s">
        <v>47</v>
      </c>
      <c r="S4" s="8">
        <f>IF(C4&gt;131,1,0)</f>
        <v>0</v>
      </c>
      <c r="T4" s="8">
        <f t="shared" ref="T4:T9" si="0">IF(D4&gt;100,1,0)</f>
        <v>0</v>
      </c>
      <c r="U4" s="8">
        <f>IF(SUM(S4:T9)&gt;0,"장난ㄴㄴ",0)</f>
        <v>0</v>
      </c>
    </row>
    <row r="5" spans="2:21" ht="18" customHeight="1" x14ac:dyDescent="0.3">
      <c r="B5" s="22" t="s">
        <v>185</v>
      </c>
      <c r="C5" s="23">
        <v>143</v>
      </c>
      <c r="D5" s="23">
        <v>100</v>
      </c>
      <c r="G5" s="7" t="s">
        <v>17</v>
      </c>
      <c r="H5" s="124">
        <f>계산탭!H14</f>
        <v>800</v>
      </c>
      <c r="I5" s="19" t="s">
        <v>21</v>
      </c>
      <c r="J5" s="125">
        <f>계산탭!H19*8</f>
        <v>800</v>
      </c>
      <c r="K5" s="24" t="s">
        <v>26</v>
      </c>
      <c r="L5" s="128">
        <f>H7</f>
        <v>1062.5</v>
      </c>
      <c r="P5" s="21" t="s">
        <v>186</v>
      </c>
      <c r="Q5" s="21" t="s">
        <v>187</v>
      </c>
      <c r="R5" s="21" t="s">
        <v>48</v>
      </c>
      <c r="S5" s="8">
        <f>IF(C5&gt;143,1,0)</f>
        <v>0</v>
      </c>
      <c r="T5" s="8">
        <f t="shared" si="0"/>
        <v>0</v>
      </c>
    </row>
    <row r="6" spans="2:21" ht="18" customHeight="1" x14ac:dyDescent="0.3">
      <c r="B6" s="22" t="s">
        <v>188</v>
      </c>
      <c r="C6" s="23">
        <v>136</v>
      </c>
      <c r="D6" s="23">
        <v>100</v>
      </c>
      <c r="G6" s="7" t="s">
        <v>19</v>
      </c>
      <c r="H6" s="124">
        <f>계산탭!H15</f>
        <v>1025</v>
      </c>
      <c r="I6" s="19" t="s">
        <v>189</v>
      </c>
      <c r="J6" s="125">
        <f>계산탭!H20*5</f>
        <v>500</v>
      </c>
      <c r="K6" s="24" t="s">
        <v>21</v>
      </c>
      <c r="L6" s="128">
        <f>계산탭!H19*10</f>
        <v>1000</v>
      </c>
      <c r="P6" s="21" t="s">
        <v>190</v>
      </c>
      <c r="Q6" s="25" t="s">
        <v>191</v>
      </c>
      <c r="R6" s="21" t="s">
        <v>49</v>
      </c>
      <c r="S6" s="8">
        <f>IF(C6&gt;136,1,0)</f>
        <v>0</v>
      </c>
      <c r="T6" s="8">
        <f t="shared" si="0"/>
        <v>0</v>
      </c>
    </row>
    <row r="7" spans="2:21" ht="18" customHeight="1" x14ac:dyDescent="0.3">
      <c r="B7" s="26" t="s">
        <v>192</v>
      </c>
      <c r="C7" s="23">
        <v>67</v>
      </c>
      <c r="D7" s="23">
        <v>100</v>
      </c>
      <c r="G7" s="7" t="s">
        <v>26</v>
      </c>
      <c r="H7" s="124">
        <f>계산탭!H18</f>
        <v>1062.5</v>
      </c>
      <c r="K7" s="20" t="s">
        <v>196</v>
      </c>
      <c r="L7" s="128">
        <f>J6*2</f>
        <v>1000</v>
      </c>
      <c r="P7" s="21" t="s">
        <v>193</v>
      </c>
      <c r="Q7" s="25" t="s">
        <v>194</v>
      </c>
      <c r="R7" s="21" t="s">
        <v>50</v>
      </c>
      <c r="T7" s="8">
        <f t="shared" si="0"/>
        <v>0</v>
      </c>
    </row>
    <row r="8" spans="2:21" ht="18" customHeight="1" x14ac:dyDescent="0.3">
      <c r="B8" s="26" t="s">
        <v>195</v>
      </c>
      <c r="C8" s="23">
        <v>69</v>
      </c>
      <c r="D8" s="23">
        <v>100</v>
      </c>
      <c r="G8" s="7" t="s">
        <v>23</v>
      </c>
      <c r="H8" s="124">
        <f>계산탭!H21</f>
        <v>800</v>
      </c>
      <c r="K8" s="24" t="s">
        <v>30</v>
      </c>
      <c r="L8" s="128">
        <f>계산탭!H22</f>
        <v>546</v>
      </c>
      <c r="P8" s="21" t="s">
        <v>197</v>
      </c>
      <c r="Q8" s="25" t="s">
        <v>198</v>
      </c>
      <c r="R8" s="21" t="s">
        <v>51</v>
      </c>
      <c r="T8" s="8">
        <f t="shared" si="0"/>
        <v>0</v>
      </c>
    </row>
    <row r="9" spans="2:21" ht="18" customHeight="1" x14ac:dyDescent="0.3">
      <c r="B9" s="26" t="s">
        <v>199</v>
      </c>
      <c r="C9" s="23"/>
      <c r="D9" s="23"/>
      <c r="K9" s="24" t="s">
        <v>31</v>
      </c>
      <c r="L9" s="128">
        <f>L8</f>
        <v>546</v>
      </c>
      <c r="P9" s="21" t="s">
        <v>200</v>
      </c>
      <c r="Q9" s="21" t="s">
        <v>201</v>
      </c>
      <c r="R9" s="21" t="s">
        <v>52</v>
      </c>
      <c r="T9" s="8">
        <f t="shared" si="0"/>
        <v>0</v>
      </c>
    </row>
    <row r="10" spans="2:21" ht="18" customHeight="1" x14ac:dyDescent="0.3">
      <c r="P10" s="21" t="s">
        <v>202</v>
      </c>
      <c r="Q10" s="21" t="s">
        <v>203</v>
      </c>
      <c r="R10" s="21" t="s">
        <v>53</v>
      </c>
    </row>
    <row r="11" spans="2:21" ht="18" customHeight="1" x14ac:dyDescent="0.3">
      <c r="P11" s="27" t="s">
        <v>204</v>
      </c>
      <c r="Q11" s="21" t="s">
        <v>205</v>
      </c>
      <c r="R11" s="27" t="s">
        <v>206</v>
      </c>
    </row>
    <row r="12" spans="2:21" ht="18" customHeight="1" x14ac:dyDescent="0.3">
      <c r="P12" s="21" t="s">
        <v>207</v>
      </c>
      <c r="Q12" s="28"/>
      <c r="R12" s="21" t="s">
        <v>208</v>
      </c>
    </row>
    <row r="13" spans="2:21" ht="18" customHeight="1" x14ac:dyDescent="0.3">
      <c r="P13" s="21" t="s">
        <v>209</v>
      </c>
      <c r="Q13" s="28"/>
      <c r="R13" s="29"/>
    </row>
    <row r="14" spans="2:21" ht="18" customHeight="1" x14ac:dyDescent="0.3">
      <c r="P14" s="28"/>
      <c r="Q14" s="28"/>
      <c r="R14" s="28"/>
    </row>
    <row r="15" spans="2:21" ht="18" customHeight="1" x14ac:dyDescent="0.3">
      <c r="Q15" s="28"/>
      <c r="R15" s="28"/>
    </row>
    <row r="17" spans="2:21" ht="18" customHeight="1" thickBot="1" x14ac:dyDescent="0.35">
      <c r="B17" s="194" t="s">
        <v>210</v>
      </c>
      <c r="C17" s="195"/>
      <c r="D17" s="196"/>
      <c r="G17" s="176" t="s">
        <v>78</v>
      </c>
      <c r="H17" s="177"/>
      <c r="I17" s="178" t="s">
        <v>79</v>
      </c>
      <c r="J17" s="179"/>
      <c r="K17" s="180" t="s">
        <v>80</v>
      </c>
      <c r="L17" s="181"/>
    </row>
    <row r="18" spans="2:21" ht="18" customHeight="1" thickTop="1" x14ac:dyDescent="0.3">
      <c r="B18" s="30"/>
      <c r="C18" s="31" t="s">
        <v>211</v>
      </c>
      <c r="D18" s="32" t="s">
        <v>212</v>
      </c>
      <c r="G18" s="13" t="s">
        <v>81</v>
      </c>
      <c r="H18" s="126">
        <f>계산탭!H68</f>
        <v>500</v>
      </c>
      <c r="I18" s="14" t="s">
        <v>82</v>
      </c>
      <c r="J18" s="129">
        <f>J19*0.7</f>
        <v>350</v>
      </c>
      <c r="K18" s="33" t="s">
        <v>83</v>
      </c>
      <c r="L18" s="132">
        <f>계산탭!H67</f>
        <v>100</v>
      </c>
    </row>
    <row r="19" spans="2:21" ht="18" customHeight="1" x14ac:dyDescent="0.3">
      <c r="B19" s="22" t="s">
        <v>213</v>
      </c>
      <c r="C19" s="34">
        <v>132</v>
      </c>
      <c r="D19" s="34">
        <v>100</v>
      </c>
      <c r="G19" s="7" t="s">
        <v>84</v>
      </c>
      <c r="H19" s="124">
        <f>계산탭!H69</f>
        <v>500</v>
      </c>
      <c r="I19" s="19" t="s">
        <v>77</v>
      </c>
      <c r="J19" s="125">
        <f>계산탭!H66</f>
        <v>500</v>
      </c>
      <c r="K19" s="20" t="s">
        <v>85</v>
      </c>
      <c r="L19" s="128">
        <f>계산탭!H70</f>
        <v>669.99999999999989</v>
      </c>
      <c r="S19" s="8">
        <f>IF(C19&gt;132,1,0)</f>
        <v>0</v>
      </c>
      <c r="T19" s="8">
        <f t="shared" ref="T19:T24" si="1">IF(D19&gt;100,1,0)</f>
        <v>0</v>
      </c>
      <c r="U19" s="8">
        <f>IF(SUM(S19:T24)&gt;0,"장난ㄴㄴ",0)</f>
        <v>0</v>
      </c>
    </row>
    <row r="20" spans="2:21" ht="18" customHeight="1" x14ac:dyDescent="0.3">
      <c r="B20" s="22" t="s">
        <v>214</v>
      </c>
      <c r="C20" s="34">
        <v>138</v>
      </c>
      <c r="D20" s="34">
        <v>100</v>
      </c>
      <c r="G20" s="7" t="s">
        <v>86</v>
      </c>
      <c r="H20" s="124">
        <f>J22+400</f>
        <v>1016</v>
      </c>
      <c r="I20" s="19" t="s">
        <v>83</v>
      </c>
      <c r="J20" s="125">
        <f>계산탭!H67*0.8</f>
        <v>80</v>
      </c>
      <c r="K20" s="20" t="s">
        <v>86</v>
      </c>
      <c r="L20" s="128">
        <f>J22</f>
        <v>616</v>
      </c>
      <c r="S20" s="8">
        <f>IF(C20&gt;138,1,0)</f>
        <v>0</v>
      </c>
      <c r="T20" s="8">
        <f t="shared" si="1"/>
        <v>0</v>
      </c>
    </row>
    <row r="21" spans="2:21" ht="18" customHeight="1" x14ac:dyDescent="0.3">
      <c r="B21" s="22" t="s">
        <v>215</v>
      </c>
      <c r="C21" s="34">
        <v>136</v>
      </c>
      <c r="D21" s="34">
        <v>100</v>
      </c>
      <c r="G21" s="7" t="s">
        <v>87</v>
      </c>
      <c r="H21" s="124">
        <f>계산탭!H73</f>
        <v>536</v>
      </c>
      <c r="I21" s="19" t="s">
        <v>85</v>
      </c>
      <c r="J21" s="125">
        <f>계산탭!H70</f>
        <v>669.99999999999989</v>
      </c>
      <c r="K21" s="20" t="s">
        <v>88</v>
      </c>
      <c r="L21" s="128">
        <f>J35</f>
        <v>906.75</v>
      </c>
      <c r="S21" s="8">
        <f>IF(C21&gt;136,1,0)</f>
        <v>0</v>
      </c>
      <c r="T21" s="8">
        <f t="shared" si="1"/>
        <v>0</v>
      </c>
    </row>
    <row r="22" spans="2:21" ht="18" customHeight="1" x14ac:dyDescent="0.3">
      <c r="B22" s="26" t="s">
        <v>216</v>
      </c>
      <c r="C22" s="34">
        <v>69</v>
      </c>
      <c r="D22" s="34">
        <v>100</v>
      </c>
      <c r="G22" s="7" t="s">
        <v>217</v>
      </c>
      <c r="H22" s="124">
        <f>계산탭!H75</f>
        <v>687.19</v>
      </c>
      <c r="I22" s="19" t="s">
        <v>86</v>
      </c>
      <c r="J22" s="125">
        <f>계산탭!H71</f>
        <v>616</v>
      </c>
      <c r="K22" s="20" t="s">
        <v>89</v>
      </c>
      <c r="L22" s="128">
        <f>계산탭!H72*6</f>
        <v>600</v>
      </c>
      <c r="T22" s="8">
        <f t="shared" si="1"/>
        <v>0</v>
      </c>
    </row>
    <row r="23" spans="2:21" ht="18" customHeight="1" x14ac:dyDescent="0.3">
      <c r="B23" s="26" t="s">
        <v>218</v>
      </c>
      <c r="C23" s="34">
        <v>58</v>
      </c>
      <c r="D23" s="34">
        <v>100</v>
      </c>
      <c r="G23" s="7" t="s">
        <v>90</v>
      </c>
      <c r="H23" s="124">
        <f>H22*0.7</f>
        <v>481.03300000000002</v>
      </c>
      <c r="I23" s="19" t="s">
        <v>89</v>
      </c>
      <c r="J23" s="125">
        <f>계산탭!H72*8</f>
        <v>800</v>
      </c>
      <c r="K23" s="20" t="s">
        <v>92</v>
      </c>
      <c r="L23" s="128">
        <f>J25*2</f>
        <v>1050</v>
      </c>
      <c r="T23" s="8">
        <f t="shared" si="1"/>
        <v>0</v>
      </c>
    </row>
    <row r="24" spans="2:21" ht="18" customHeight="1" x14ac:dyDescent="0.3">
      <c r="B24" s="26" t="s">
        <v>219</v>
      </c>
      <c r="C24" s="34"/>
      <c r="D24" s="34"/>
      <c r="G24" s="7" t="s">
        <v>91</v>
      </c>
      <c r="H24" s="124">
        <f>H35</f>
        <v>341.94499999999999</v>
      </c>
      <c r="I24" s="19" t="s">
        <v>94</v>
      </c>
      <c r="J24" s="125">
        <f>계산탭!H74</f>
        <v>533.92999999999995</v>
      </c>
      <c r="K24" s="20" t="s">
        <v>95</v>
      </c>
      <c r="L24" s="128">
        <f>계산탭!H77</f>
        <v>653.5</v>
      </c>
      <c r="T24" s="8">
        <f t="shared" si="1"/>
        <v>0</v>
      </c>
    </row>
    <row r="25" spans="2:21" ht="18" customHeight="1" x14ac:dyDescent="0.3">
      <c r="G25" s="7" t="s">
        <v>93</v>
      </c>
      <c r="H25" s="124">
        <f>계산탭!H79</f>
        <v>800</v>
      </c>
      <c r="I25" s="19" t="s">
        <v>92</v>
      </c>
      <c r="J25" s="125">
        <f>계산탭!H76*5</f>
        <v>525</v>
      </c>
      <c r="K25" s="20" t="s">
        <v>97</v>
      </c>
      <c r="L25" s="128">
        <f>계산탭!H77/계산탭!H78*80</f>
        <v>80</v>
      </c>
    </row>
    <row r="26" spans="2:21" ht="18" customHeight="1" x14ac:dyDescent="0.3">
      <c r="G26" s="7" t="s">
        <v>96</v>
      </c>
      <c r="H26" s="124">
        <f>H46</f>
        <v>533</v>
      </c>
      <c r="I26" s="19" t="s">
        <v>99</v>
      </c>
      <c r="J26" s="125">
        <f>H35</f>
        <v>341.94499999999999</v>
      </c>
      <c r="K26" s="20" t="s">
        <v>93</v>
      </c>
      <c r="L26" s="128">
        <f>H25*0.7</f>
        <v>560</v>
      </c>
    </row>
    <row r="27" spans="2:21" ht="18" customHeight="1" x14ac:dyDescent="0.3">
      <c r="G27" s="7" t="s">
        <v>98</v>
      </c>
      <c r="H27" s="124">
        <f>계산탭!H80</f>
        <v>676.62558685446004</v>
      </c>
      <c r="I27" s="19" t="s">
        <v>101</v>
      </c>
      <c r="J27" s="125">
        <f>계산탭!H81*7</f>
        <v>710.5</v>
      </c>
      <c r="K27" s="20" t="s">
        <v>96</v>
      </c>
      <c r="L27" s="128">
        <f>H46</f>
        <v>533</v>
      </c>
    </row>
    <row r="28" spans="2:21" ht="18" customHeight="1" x14ac:dyDescent="0.3">
      <c r="G28" s="7" t="s">
        <v>100</v>
      </c>
      <c r="H28" s="124">
        <f>계산탭!H82</f>
        <v>533</v>
      </c>
      <c r="I28" s="19" t="s">
        <v>100</v>
      </c>
      <c r="J28" s="125">
        <f>H28</f>
        <v>533</v>
      </c>
      <c r="K28" s="20" t="s">
        <v>100</v>
      </c>
      <c r="L28" s="128">
        <f>H28</f>
        <v>533</v>
      </c>
    </row>
    <row r="29" spans="2:21" ht="18" customHeight="1" x14ac:dyDescent="0.3">
      <c r="G29" s="7" t="s">
        <v>102</v>
      </c>
      <c r="H29" s="124">
        <f>계산탭!H83*5</f>
        <v>977.73865414710485</v>
      </c>
      <c r="I29" s="19" t="s">
        <v>102</v>
      </c>
      <c r="J29" s="125">
        <f>계산탭!H83*5/2</f>
        <v>488.86932707355243</v>
      </c>
      <c r="K29" s="20" t="s">
        <v>104</v>
      </c>
      <c r="L29" s="128">
        <f>J31</f>
        <v>1000</v>
      </c>
    </row>
    <row r="30" spans="2:21" ht="18" customHeight="1" x14ac:dyDescent="0.3">
      <c r="G30" s="7" t="s">
        <v>103</v>
      </c>
      <c r="H30" s="124">
        <f>J30*0.7</f>
        <v>700</v>
      </c>
      <c r="I30" s="19" t="s">
        <v>103</v>
      </c>
      <c r="J30" s="125">
        <f>계산탭!H84</f>
        <v>1000</v>
      </c>
    </row>
    <row r="31" spans="2:21" ht="18" customHeight="1" x14ac:dyDescent="0.3">
      <c r="G31" s="7" t="s">
        <v>105</v>
      </c>
      <c r="H31" s="124">
        <f>계산탭!H85</f>
        <v>600</v>
      </c>
      <c r="I31" s="19" t="s">
        <v>104</v>
      </c>
      <c r="J31" s="125">
        <f>계산탭!H86</f>
        <v>1000</v>
      </c>
    </row>
    <row r="32" spans="2:21" ht="18" customHeight="1" x14ac:dyDescent="0.3">
      <c r="G32" s="7" t="s">
        <v>106</v>
      </c>
      <c r="H32" s="124">
        <f>계산탭!H87</f>
        <v>1003</v>
      </c>
      <c r="I32" s="19" t="s">
        <v>106</v>
      </c>
      <c r="J32" s="125">
        <f>H32*0.7</f>
        <v>702.09999999999991</v>
      </c>
    </row>
    <row r="34" spans="7:12" ht="18" customHeight="1" thickBot="1" x14ac:dyDescent="0.35">
      <c r="G34" s="182" t="s">
        <v>107</v>
      </c>
      <c r="H34" s="182"/>
      <c r="I34" s="183" t="s">
        <v>108</v>
      </c>
      <c r="J34" s="183"/>
      <c r="K34" s="184" t="s">
        <v>109</v>
      </c>
      <c r="L34" s="184"/>
    </row>
    <row r="35" spans="7:12" ht="18" customHeight="1" thickTop="1" x14ac:dyDescent="0.3">
      <c r="G35" s="13" t="s">
        <v>110</v>
      </c>
      <c r="H35" s="126">
        <f>계산탭!H63</f>
        <v>341.94499999999999</v>
      </c>
      <c r="I35" s="14" t="s">
        <v>88</v>
      </c>
      <c r="J35" s="129">
        <f>계산탭!H62</f>
        <v>906.75</v>
      </c>
      <c r="K35" s="33" t="s">
        <v>111</v>
      </c>
      <c r="L35" s="132">
        <f>계산탭!H61</f>
        <v>700</v>
      </c>
    </row>
    <row r="36" spans="7:12" ht="18" customHeight="1" x14ac:dyDescent="0.3">
      <c r="G36" s="7" t="s">
        <v>96</v>
      </c>
      <c r="H36" s="124">
        <f>H46</f>
        <v>533</v>
      </c>
      <c r="K36" s="20" t="s">
        <v>96</v>
      </c>
      <c r="L36" s="128">
        <f>H46</f>
        <v>533</v>
      </c>
    </row>
    <row r="37" spans="7:12" ht="18" customHeight="1" x14ac:dyDescent="0.3">
      <c r="K37" s="20" t="s">
        <v>88</v>
      </c>
      <c r="L37" s="128">
        <f>J35</f>
        <v>906.75</v>
      </c>
    </row>
    <row r="39" spans="7:12" ht="18" customHeight="1" thickBot="1" x14ac:dyDescent="0.35">
      <c r="G39" s="176" t="s">
        <v>112</v>
      </c>
      <c r="H39" s="177"/>
      <c r="I39" s="178" t="s">
        <v>113</v>
      </c>
      <c r="J39" s="179"/>
      <c r="K39" s="180" t="s">
        <v>114</v>
      </c>
      <c r="L39" s="181"/>
    </row>
    <row r="40" spans="7:12" ht="18" customHeight="1" thickTop="1" x14ac:dyDescent="0.3">
      <c r="G40" s="13" t="s">
        <v>115</v>
      </c>
      <c r="H40" s="126">
        <f>계산탭!H46</f>
        <v>1000</v>
      </c>
      <c r="I40" s="14" t="s">
        <v>116</v>
      </c>
      <c r="J40" s="130">
        <f>H41</f>
        <v>478.48500000000001</v>
      </c>
      <c r="K40" s="33" t="s">
        <v>116</v>
      </c>
      <c r="L40" s="132">
        <f>J40</f>
        <v>478.48500000000001</v>
      </c>
    </row>
    <row r="41" spans="7:12" ht="18" customHeight="1" x14ac:dyDescent="0.3">
      <c r="G41" s="7" t="s">
        <v>116</v>
      </c>
      <c r="H41" s="124">
        <f>계산탭!H47</f>
        <v>478.48500000000001</v>
      </c>
      <c r="I41" s="19" t="s">
        <v>117</v>
      </c>
      <c r="J41" s="131">
        <f>계산탭!H48</f>
        <v>977.74</v>
      </c>
      <c r="K41" s="20" t="s">
        <v>118</v>
      </c>
      <c r="L41" s="128">
        <f>J42*5/4</f>
        <v>1000</v>
      </c>
    </row>
    <row r="42" spans="7:12" ht="18" customHeight="1" x14ac:dyDescent="0.3">
      <c r="G42" s="7" t="s">
        <v>117</v>
      </c>
      <c r="H42" s="124">
        <f>J41*0.7</f>
        <v>684.41800000000001</v>
      </c>
      <c r="I42" s="19" t="s">
        <v>118</v>
      </c>
      <c r="J42" s="131">
        <f>계산탭!H49</f>
        <v>800</v>
      </c>
      <c r="K42" s="20" t="s">
        <v>119</v>
      </c>
      <c r="L42" s="128">
        <f>계산탭!H50*5</f>
        <v>670</v>
      </c>
    </row>
    <row r="43" spans="7:12" ht="18" customHeight="1" x14ac:dyDescent="0.3">
      <c r="G43" s="7" t="s">
        <v>119</v>
      </c>
      <c r="H43" s="124">
        <f>계산탭!H50*7/2</f>
        <v>469</v>
      </c>
      <c r="I43" s="19" t="s">
        <v>120</v>
      </c>
      <c r="J43" s="131">
        <f>계산탭!H53</f>
        <v>399.75</v>
      </c>
      <c r="K43" s="20" t="s">
        <v>121</v>
      </c>
      <c r="L43" s="128">
        <f>계산탭!H52</f>
        <v>618</v>
      </c>
    </row>
    <row r="44" spans="7:12" ht="18" customHeight="1" x14ac:dyDescent="0.3">
      <c r="G44" s="7" t="s">
        <v>121</v>
      </c>
      <c r="H44" s="124">
        <f>계산탭!H51</f>
        <v>1050</v>
      </c>
      <c r="I44" s="19" t="s">
        <v>122</v>
      </c>
      <c r="J44" s="131">
        <f>계산탭!H55*8</f>
        <v>800</v>
      </c>
      <c r="K44" s="20" t="s">
        <v>123</v>
      </c>
      <c r="L44" s="128">
        <f>계산탭!H54</f>
        <v>1100</v>
      </c>
    </row>
    <row r="45" spans="7:12" ht="18" customHeight="1" x14ac:dyDescent="0.3">
      <c r="G45" s="7" t="s">
        <v>123</v>
      </c>
      <c r="H45" s="124">
        <f>계산탭!H54</f>
        <v>1100</v>
      </c>
      <c r="I45" s="19" t="s">
        <v>124</v>
      </c>
      <c r="J45" s="131">
        <f>계산탭!H56</f>
        <v>400</v>
      </c>
      <c r="K45" s="20" t="s">
        <v>122</v>
      </c>
      <c r="L45" s="128">
        <f>계산탭!H55*10</f>
        <v>1000</v>
      </c>
    </row>
    <row r="46" spans="7:12" ht="18" customHeight="1" x14ac:dyDescent="0.3">
      <c r="G46" s="7" t="s">
        <v>96</v>
      </c>
      <c r="H46" s="124">
        <f>계산탭!H58</f>
        <v>533</v>
      </c>
      <c r="K46" s="20" t="s">
        <v>124</v>
      </c>
      <c r="L46" s="128">
        <f>계산탭!H57</f>
        <v>800</v>
      </c>
    </row>
    <row r="47" spans="7:12" ht="18" customHeight="1" x14ac:dyDescent="0.3">
      <c r="K47" s="20" t="s">
        <v>96</v>
      </c>
      <c r="L47" s="128">
        <f>H46</f>
        <v>533</v>
      </c>
    </row>
    <row r="49" spans="7:8" ht="18" customHeight="1" thickBot="1" x14ac:dyDescent="0.35">
      <c r="G49" s="176" t="s">
        <v>279</v>
      </c>
      <c r="H49" s="177"/>
    </row>
    <row r="50" spans="7:8" ht="18" customHeight="1" thickTop="1" x14ac:dyDescent="0.3">
      <c r="G50" s="13" t="s">
        <v>276</v>
      </c>
      <c r="H50" s="126">
        <f>계산탭!H90</f>
        <v>670</v>
      </c>
    </row>
    <row r="51" spans="7:8" ht="18" customHeight="1" x14ac:dyDescent="0.3">
      <c r="G51" s="7" t="s">
        <v>281</v>
      </c>
      <c r="H51" s="124">
        <f>계산탭!H91</f>
        <v>977.73865414710497</v>
      </c>
    </row>
    <row r="52" spans="7:8" ht="18" customHeight="1" x14ac:dyDescent="0.3">
      <c r="G52" s="19" t="s">
        <v>282</v>
      </c>
      <c r="H52" s="125">
        <f>계산탭!H92</f>
        <v>488.86932707355248</v>
      </c>
    </row>
    <row r="53" spans="7:8" ht="18" customHeight="1" x14ac:dyDescent="0.3">
      <c r="G53" s="19" t="s">
        <v>284</v>
      </c>
      <c r="H53" s="125">
        <f>계산탭!H93*0.8</f>
        <v>400</v>
      </c>
    </row>
    <row r="54" spans="7:8" ht="18" customHeight="1" x14ac:dyDescent="0.3">
      <c r="G54" s="20" t="s">
        <v>283</v>
      </c>
      <c r="H54" s="128">
        <f>계산탭!H93*2</f>
        <v>1000</v>
      </c>
    </row>
  </sheetData>
  <sheetProtection password="B7A3" sheet="1" objects="1" scenarios="1" selectLockedCells="1"/>
  <mergeCells count="15">
    <mergeCell ref="G2:H2"/>
    <mergeCell ref="I2:J2"/>
    <mergeCell ref="K2:L2"/>
    <mergeCell ref="B2:D2"/>
    <mergeCell ref="B17:D17"/>
    <mergeCell ref="G49:H49"/>
    <mergeCell ref="G39:H39"/>
    <mergeCell ref="I39:J39"/>
    <mergeCell ref="K39:L39"/>
    <mergeCell ref="G17:H17"/>
    <mergeCell ref="I17:J17"/>
    <mergeCell ref="K17:L17"/>
    <mergeCell ref="G34:H34"/>
    <mergeCell ref="I34:J34"/>
    <mergeCell ref="K34:L34"/>
  </mergeCells>
  <phoneticPr fontId="1" type="noConversion"/>
  <conditionalFormatting sqref="I43:I45">
    <cfRule type="duplicateValues" dxfId="0" priority="1"/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</xdr:col>
                    <xdr:colOff>0</xdr:colOff>
                    <xdr:row>6</xdr:row>
                    <xdr:rowOff>9525</xdr:rowOff>
                  </from>
                  <to>
                    <xdr:col>1</xdr:col>
                    <xdr:colOff>676275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1</xdr:col>
                    <xdr:colOff>0</xdr:colOff>
                    <xdr:row>7</xdr:row>
                    <xdr:rowOff>9525</xdr:rowOff>
                  </from>
                  <to>
                    <xdr:col>1</xdr:col>
                    <xdr:colOff>676275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Drop Down 3">
              <controlPr defaultSize="0" autoLine="0" autoPict="0">
                <anchor moveWithCells="1">
                  <from>
                    <xdr:col>1</xdr:col>
                    <xdr:colOff>0</xdr:colOff>
                    <xdr:row>8</xdr:row>
                    <xdr:rowOff>9525</xdr:rowOff>
                  </from>
                  <to>
                    <xdr:col>1</xdr:col>
                    <xdr:colOff>676275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Drop Down 4">
              <controlPr defaultSize="0" autoLine="0" autoPict="0">
                <anchor moveWithCells="1">
                  <from>
                    <xdr:col>1</xdr:col>
                    <xdr:colOff>0</xdr:colOff>
                    <xdr:row>21</xdr:row>
                    <xdr:rowOff>9525</xdr:rowOff>
                  </from>
                  <to>
                    <xdr:col>1</xdr:col>
                    <xdr:colOff>676275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Drop Down 5">
              <controlPr defaultSize="0" autoLine="0" autoPict="0">
                <anchor moveWithCells="1">
                  <from>
                    <xdr:col>1</xdr:col>
                    <xdr:colOff>0</xdr:colOff>
                    <xdr:row>22</xdr:row>
                    <xdr:rowOff>9525</xdr:rowOff>
                  </from>
                  <to>
                    <xdr:col>1</xdr:col>
                    <xdr:colOff>676275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Drop Down 7">
              <controlPr defaultSize="0" autoLine="0" autoPict="0">
                <anchor moveWithCells="1">
                  <from>
                    <xdr:col>1</xdr:col>
                    <xdr:colOff>0</xdr:colOff>
                    <xdr:row>23</xdr:row>
                    <xdr:rowOff>9525</xdr:rowOff>
                  </from>
                  <to>
                    <xdr:col>1</xdr:col>
                    <xdr:colOff>676275</xdr:colOff>
                    <xdr:row>23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05"/>
  <sheetViews>
    <sheetView topLeftCell="C19" workbookViewId="0">
      <selection activeCell="A100" sqref="A100"/>
    </sheetView>
  </sheetViews>
  <sheetFormatPr defaultRowHeight="14.25" x14ac:dyDescent="0.3"/>
  <cols>
    <col min="1" max="1" width="14.375" style="44" customWidth="1"/>
    <col min="2" max="6" width="9.5" style="44" customWidth="1"/>
    <col min="7" max="18" width="9" style="44" customWidth="1"/>
    <col min="19" max="16384" width="9" style="44"/>
  </cols>
  <sheetData>
    <row r="2" spans="1:16" x14ac:dyDescent="0.3">
      <c r="B2" s="45" t="s">
        <v>5</v>
      </c>
      <c r="C2" s="45" t="s">
        <v>6</v>
      </c>
      <c r="D2" s="45" t="s">
        <v>7</v>
      </c>
      <c r="E2" s="45" t="s">
        <v>0</v>
      </c>
      <c r="F2" s="45" t="s">
        <v>1</v>
      </c>
      <c r="G2" s="45" t="s">
        <v>2</v>
      </c>
      <c r="J2" s="45" t="s">
        <v>302</v>
      </c>
      <c r="K2" s="45" t="s">
        <v>301</v>
      </c>
    </row>
    <row r="3" spans="1:16" x14ac:dyDescent="0.3">
      <c r="E3" s="45">
        <v>1</v>
      </c>
      <c r="F3" s="45">
        <v>4</v>
      </c>
      <c r="G3" s="45">
        <v>1</v>
      </c>
      <c r="J3" s="45" t="str">
        <f>E4</f>
        <v>생윤</v>
      </c>
      <c r="K3" s="45">
        <f>VLOOKUP(E6,변표특수!AD2:AF103,2,FALSE)</f>
        <v>66.400000000000006</v>
      </c>
    </row>
    <row r="4" spans="1:16" x14ac:dyDescent="0.3">
      <c r="A4" s="45"/>
      <c r="B4" s="45">
        <v>131</v>
      </c>
      <c r="C4" s="45">
        <v>143</v>
      </c>
      <c r="D4" s="45">
        <v>136</v>
      </c>
      <c r="E4" s="45" t="str">
        <f>INDEX(K$13:$K$22,$E$3,1)</f>
        <v>생윤</v>
      </c>
      <c r="F4" s="45" t="str">
        <f>INDEX(K$13:$K$22,$F$3,1)</f>
        <v>한지</v>
      </c>
      <c r="G4" s="45" t="str">
        <f>INDEX(K$23:$K$31,$G$3,1)</f>
        <v>독일어</v>
      </c>
      <c r="J4" s="45" t="str">
        <f>F4</f>
        <v>한지</v>
      </c>
      <c r="K4" s="45">
        <f>VLOOKUP(F6,변표특수!AD2:AF103,2,FALSE)</f>
        <v>66.400000000000006</v>
      </c>
    </row>
    <row r="5" spans="1:16" x14ac:dyDescent="0.3">
      <c r="A5" s="45" t="s">
        <v>3</v>
      </c>
      <c r="B5" s="45">
        <f>입력!C4</f>
        <v>131</v>
      </c>
      <c r="C5" s="45">
        <f>입력!C5</f>
        <v>143</v>
      </c>
      <c r="D5" s="45">
        <f>입력!C6</f>
        <v>136</v>
      </c>
      <c r="E5" s="45">
        <f>입력!C7</f>
        <v>67</v>
      </c>
      <c r="F5" s="45">
        <f>입력!C8</f>
        <v>69</v>
      </c>
      <c r="G5" s="45">
        <f>입력!C9</f>
        <v>0</v>
      </c>
      <c r="J5" s="45" t="str">
        <f>G4</f>
        <v>독일어</v>
      </c>
      <c r="K5" s="45">
        <f>VLOOKUP(G6,변표특수!AD2:AF103,2,FALSE)</f>
        <v>0</v>
      </c>
    </row>
    <row r="6" spans="1:16" x14ac:dyDescent="0.3">
      <c r="A6" s="45" t="s">
        <v>4</v>
      </c>
      <c r="B6" s="45">
        <f>입력!D4</f>
        <v>100</v>
      </c>
      <c r="C6" s="45">
        <f>입력!D5</f>
        <v>100</v>
      </c>
      <c r="D6" s="45">
        <f>입력!D6</f>
        <v>100</v>
      </c>
      <c r="E6" s="45">
        <f>입력!D7</f>
        <v>100</v>
      </c>
      <c r="F6" s="45">
        <f>입력!D8</f>
        <v>100</v>
      </c>
      <c r="G6" s="45">
        <f>입력!D9</f>
        <v>0</v>
      </c>
    </row>
    <row r="7" spans="1:16" x14ac:dyDescent="0.3">
      <c r="D7" s="45" t="s">
        <v>11</v>
      </c>
      <c r="E7" s="46">
        <f>VLOOKUP(E6,변표일반!B2:E103,2,FALSE)</f>
        <v>66.400000000000006</v>
      </c>
      <c r="F7" s="46">
        <f>VLOOKUP(F6,변표일반!B2:E103,2,FALSE)</f>
        <v>66.400000000000006</v>
      </c>
      <c r="G7" s="46">
        <f>VLOOKUP(G6,변표일반!B2:E103,2,FALSE)</f>
        <v>28.9</v>
      </c>
    </row>
    <row r="8" spans="1:16" x14ac:dyDescent="0.3">
      <c r="F8" s="45" t="s">
        <v>13</v>
      </c>
      <c r="G8" s="46">
        <f>VLOOKUP(G6,변표일반!B2:E103,4,FALSE)</f>
        <v>33.555555555555557</v>
      </c>
    </row>
    <row r="9" spans="1:16" ht="15" thickBot="1" x14ac:dyDescent="0.35">
      <c r="G9" s="47"/>
    </row>
    <row r="10" spans="1:16" x14ac:dyDescent="0.3">
      <c r="A10" s="45"/>
      <c r="B10" s="45" t="s">
        <v>5</v>
      </c>
      <c r="C10" s="45" t="s">
        <v>6</v>
      </c>
      <c r="D10" s="45" t="s">
        <v>7</v>
      </c>
      <c r="E10" s="45" t="s">
        <v>0</v>
      </c>
      <c r="F10" s="45" t="s">
        <v>1</v>
      </c>
      <c r="G10" s="45" t="s">
        <v>32</v>
      </c>
      <c r="H10" s="45" t="s">
        <v>14</v>
      </c>
      <c r="K10" s="48" t="s">
        <v>35</v>
      </c>
      <c r="L10" s="49">
        <f>B4</f>
        <v>131</v>
      </c>
      <c r="M10" s="50">
        <f>B5</f>
        <v>131</v>
      </c>
      <c r="N10" s="51">
        <f>M10/L10</f>
        <v>1</v>
      </c>
      <c r="O10" s="52"/>
    </row>
    <row r="11" spans="1:16" x14ac:dyDescent="0.3">
      <c r="A11" s="45" t="s">
        <v>29</v>
      </c>
      <c r="B11" s="45">
        <f>$B$6</f>
        <v>100</v>
      </c>
      <c r="C11" s="45">
        <f>$C$6</f>
        <v>100</v>
      </c>
      <c r="D11" s="45">
        <f>$D$6</f>
        <v>100</v>
      </c>
      <c r="E11" s="45">
        <f>$E$6</f>
        <v>100</v>
      </c>
      <c r="F11" s="45">
        <f>$F$6</f>
        <v>100</v>
      </c>
      <c r="G11" s="45" t="s">
        <v>33</v>
      </c>
      <c r="H11" s="45">
        <f>B11*3.5+C11*2+D11*2.5+E11+F11</f>
        <v>1000</v>
      </c>
      <c r="K11" s="53" t="s">
        <v>56</v>
      </c>
      <c r="L11" s="54">
        <f>C4</f>
        <v>143</v>
      </c>
      <c r="M11" s="55">
        <f>C5</f>
        <v>143</v>
      </c>
      <c r="N11" s="56">
        <f>M11/L11</f>
        <v>1</v>
      </c>
      <c r="O11" s="52"/>
    </row>
    <row r="12" spans="1:16" ht="15" thickBot="1" x14ac:dyDescent="0.35">
      <c r="A12" s="45" t="s">
        <v>10</v>
      </c>
      <c r="B12" s="45">
        <f>B5*0.25</f>
        <v>32.75</v>
      </c>
      <c r="C12" s="45">
        <f>C5*0.3</f>
        <v>42.9</v>
      </c>
      <c r="D12" s="45">
        <f>D5*0.3</f>
        <v>40.799999999999997</v>
      </c>
      <c r="E12" s="45">
        <f>LARGE(K3:K5,1)*0.15</f>
        <v>9.9600000000000009</v>
      </c>
      <c r="F12" s="45">
        <f>LARGE(K3:K5,2)*0.15</f>
        <v>9.9600000000000009</v>
      </c>
      <c r="G12" s="45" t="s">
        <v>34</v>
      </c>
      <c r="H12" s="45">
        <f>SUM(B12:F12)*7/2</f>
        <v>477.29500000000002</v>
      </c>
      <c r="K12" s="57" t="s">
        <v>57</v>
      </c>
      <c r="L12" s="58">
        <f>D4</f>
        <v>136</v>
      </c>
      <c r="M12" s="59">
        <f>D5</f>
        <v>136</v>
      </c>
      <c r="N12" s="60">
        <f>M12/L12</f>
        <v>1</v>
      </c>
      <c r="O12" s="52"/>
    </row>
    <row r="13" spans="1:16" x14ac:dyDescent="0.3">
      <c r="A13" s="45" t="s">
        <v>16</v>
      </c>
      <c r="B13" s="61">
        <f>$N$10</f>
        <v>1</v>
      </c>
      <c r="C13" s="61">
        <f>$N$11</f>
        <v>1</v>
      </c>
      <c r="D13" s="61">
        <f>$N$12</f>
        <v>1</v>
      </c>
      <c r="E13" s="61">
        <f>$N$13</f>
        <v>1</v>
      </c>
      <c r="F13" s="61">
        <f>$N$14</f>
        <v>0</v>
      </c>
      <c r="G13" s="45" t="s">
        <v>59</v>
      </c>
      <c r="H13" s="45">
        <f>(ROUND(B13,2)*250+ROUND(C13,2)*300+ROUND(D13,2)*250+ROUND(E13*100+F13*100,2))*0.7</f>
        <v>630</v>
      </c>
      <c r="K13" s="62" t="s">
        <v>37</v>
      </c>
      <c r="L13" s="63">
        <v>67</v>
      </c>
      <c r="M13" s="50">
        <f>IF(K13=$E$4,$E$5,IF(K13=$F$4,$F$5,0))</f>
        <v>67</v>
      </c>
      <c r="N13" s="64">
        <f>M13/L13</f>
        <v>1</v>
      </c>
      <c r="O13" s="65" t="s">
        <v>60</v>
      </c>
      <c r="P13" s="66" t="s">
        <v>61</v>
      </c>
    </row>
    <row r="14" spans="1:16" x14ac:dyDescent="0.3">
      <c r="A14" s="45" t="s">
        <v>18</v>
      </c>
      <c r="B14" s="45">
        <f>$B$6</f>
        <v>100</v>
      </c>
      <c r="C14" s="45">
        <f>$C$6</f>
        <v>100</v>
      </c>
      <c r="D14" s="45">
        <f>$D$6</f>
        <v>100</v>
      </c>
      <c r="E14" s="45">
        <f>$E$6</f>
        <v>100</v>
      </c>
      <c r="F14" s="45">
        <f>$F$6</f>
        <v>100</v>
      </c>
      <c r="G14" s="45" t="s">
        <v>33</v>
      </c>
      <c r="H14" s="45">
        <f>(B14+C14+D14+AVERAGE(E14:F14))*2</f>
        <v>800</v>
      </c>
      <c r="K14" s="67" t="s">
        <v>38</v>
      </c>
      <c r="L14" s="68">
        <v>69</v>
      </c>
      <c r="M14" s="55">
        <f>IF(K14=$E$4,$E$5,IF(K14=$F$4,$F$5,0))</f>
        <v>0</v>
      </c>
      <c r="N14" s="69">
        <f t="shared" ref="N14:N31" si="0">M14/L14</f>
        <v>0</v>
      </c>
      <c r="O14" s="70">
        <f>LARGE(N13:N22,1)</f>
        <v>1</v>
      </c>
      <c r="P14" s="71">
        <f>LARGE(N13:N31,1)</f>
        <v>1</v>
      </c>
    </row>
    <row r="15" spans="1:16" ht="15" thickBot="1" x14ac:dyDescent="0.35">
      <c r="A15" s="45" t="s">
        <v>63</v>
      </c>
      <c r="B15" s="45">
        <f>$B$6</f>
        <v>100</v>
      </c>
      <c r="C15" s="45">
        <f>$C$6</f>
        <v>100</v>
      </c>
      <c r="D15" s="45">
        <f>$D$6</f>
        <v>100</v>
      </c>
      <c r="E15" s="45">
        <f>$E$6</f>
        <v>100</v>
      </c>
      <c r="F15" s="45">
        <f>$F$6</f>
        <v>100</v>
      </c>
      <c r="G15" s="45" t="s">
        <v>33</v>
      </c>
      <c r="H15" s="45">
        <f>(B15*1.1+C15+D15+(E15+F15)/2)*2.5</f>
        <v>1025</v>
      </c>
      <c r="K15" s="67" t="s">
        <v>39</v>
      </c>
      <c r="L15" s="68">
        <v>64</v>
      </c>
      <c r="M15" s="55">
        <f t="shared" ref="M15:M22" si="1">IF(K15=$E$4,$E$5,IF(K15=$F$4,$F$5,0))</f>
        <v>0</v>
      </c>
      <c r="N15" s="69">
        <f t="shared" si="0"/>
        <v>0</v>
      </c>
      <c r="O15" s="72">
        <f>LARGE(N13:N22,2)</f>
        <v>1</v>
      </c>
      <c r="P15" s="73">
        <f>LARGE(N13:N31,2)</f>
        <v>1</v>
      </c>
    </row>
    <row r="16" spans="1:16" x14ac:dyDescent="0.3">
      <c r="A16" s="45" t="s">
        <v>64</v>
      </c>
      <c r="B16" s="45">
        <f>$B$6</f>
        <v>100</v>
      </c>
      <c r="C16" s="45">
        <f>$C$6</f>
        <v>100</v>
      </c>
      <c r="D16" s="45">
        <f>$D$6</f>
        <v>100</v>
      </c>
      <c r="E16" s="45">
        <f>$E$6</f>
        <v>100</v>
      </c>
      <c r="F16" s="45">
        <f>$F$6</f>
        <v>100</v>
      </c>
      <c r="G16" s="45" t="s">
        <v>33</v>
      </c>
      <c r="H16" s="45">
        <f>240+(B15*1.1+C15+D15+(E15+F15)/2)*0.9</f>
        <v>609</v>
      </c>
      <c r="K16" s="67" t="s">
        <v>40</v>
      </c>
      <c r="L16" s="68">
        <v>69</v>
      </c>
      <c r="M16" s="55">
        <f t="shared" si="1"/>
        <v>69</v>
      </c>
      <c r="N16" s="56">
        <f t="shared" si="0"/>
        <v>1</v>
      </c>
      <c r="O16" s="74"/>
    </row>
    <row r="17" spans="1:15" x14ac:dyDescent="0.3">
      <c r="A17" s="45" t="s">
        <v>62</v>
      </c>
      <c r="B17" s="45">
        <f>$B$5</f>
        <v>131</v>
      </c>
      <c r="C17" s="45">
        <f>$C$5</f>
        <v>143</v>
      </c>
      <c r="D17" s="45">
        <f>$D$5</f>
        <v>136</v>
      </c>
      <c r="E17" s="45">
        <f>$E$5</f>
        <v>67</v>
      </c>
      <c r="F17" s="45">
        <f>$F$5</f>
        <v>69</v>
      </c>
      <c r="G17" s="45" t="s">
        <v>59</v>
      </c>
      <c r="H17" s="45">
        <f>(B17+C17+D17+E17+F17)*3/4</f>
        <v>409.5</v>
      </c>
      <c r="K17" s="67" t="s">
        <v>41</v>
      </c>
      <c r="L17" s="68">
        <v>66</v>
      </c>
      <c r="M17" s="55">
        <f t="shared" si="1"/>
        <v>0</v>
      </c>
      <c r="N17" s="56">
        <f t="shared" si="0"/>
        <v>0</v>
      </c>
      <c r="O17" s="74"/>
    </row>
    <row r="18" spans="1:15" x14ac:dyDescent="0.3">
      <c r="A18" s="45" t="s">
        <v>27</v>
      </c>
      <c r="B18" s="45">
        <f>$B$6</f>
        <v>100</v>
      </c>
      <c r="C18" s="45">
        <f>$C$6</f>
        <v>100</v>
      </c>
      <c r="D18" s="45">
        <f>$D$6</f>
        <v>100</v>
      </c>
      <c r="E18" s="45">
        <f>$E$6</f>
        <v>100</v>
      </c>
      <c r="F18" s="45">
        <f>$F$6</f>
        <v>100</v>
      </c>
      <c r="G18" s="45" t="s">
        <v>33</v>
      </c>
      <c r="H18" s="45">
        <f>(B18*1.1+C18+D18*1.15+(E18+F18)/2)*2.5</f>
        <v>1062.5</v>
      </c>
      <c r="K18" s="67" t="s">
        <v>42</v>
      </c>
      <c r="L18" s="68">
        <v>66</v>
      </c>
      <c r="M18" s="55">
        <f t="shared" si="1"/>
        <v>0</v>
      </c>
      <c r="N18" s="56">
        <f t="shared" si="0"/>
        <v>0</v>
      </c>
      <c r="O18" s="74"/>
    </row>
    <row r="19" spans="1:15" x14ac:dyDescent="0.3">
      <c r="A19" s="45" t="s">
        <v>22</v>
      </c>
      <c r="B19" s="45">
        <f>$B$6</f>
        <v>100</v>
      </c>
      <c r="C19" s="45">
        <f>$C$6</f>
        <v>100</v>
      </c>
      <c r="D19" s="45">
        <f>$D$6</f>
        <v>100</v>
      </c>
      <c r="E19" s="45">
        <f>LARGE(E6:F6,1)</f>
        <v>100</v>
      </c>
      <c r="F19" s="45"/>
      <c r="G19" s="45" t="s">
        <v>65</v>
      </c>
      <c r="H19" s="45">
        <f>B19*0.3+C19*0.3+D19*0.3+E19*0.1</f>
        <v>100</v>
      </c>
      <c r="K19" s="67" t="s">
        <v>43</v>
      </c>
      <c r="L19" s="68">
        <v>66</v>
      </c>
      <c r="M19" s="55">
        <f t="shared" si="1"/>
        <v>0</v>
      </c>
      <c r="N19" s="56">
        <f t="shared" si="0"/>
        <v>0</v>
      </c>
      <c r="O19" s="74"/>
    </row>
    <row r="20" spans="1:15" x14ac:dyDescent="0.3">
      <c r="A20" s="45" t="s">
        <v>161</v>
      </c>
      <c r="B20" s="45">
        <f>B6</f>
        <v>100</v>
      </c>
      <c r="C20" s="45">
        <f>C6</f>
        <v>100</v>
      </c>
      <c r="D20" s="45">
        <f>D6</f>
        <v>100</v>
      </c>
      <c r="E20" s="45">
        <f>E6</f>
        <v>100</v>
      </c>
      <c r="F20" s="45">
        <f>F6</f>
        <v>100</v>
      </c>
      <c r="G20" s="45" t="s">
        <v>157</v>
      </c>
      <c r="H20" s="45">
        <f>B20*0.2+C20*0.3+D20*0.3+(E20+F20)/2*0.2</f>
        <v>100</v>
      </c>
      <c r="K20" s="67" t="s">
        <v>44</v>
      </c>
      <c r="L20" s="68">
        <v>67</v>
      </c>
      <c r="M20" s="55">
        <f t="shared" si="1"/>
        <v>0</v>
      </c>
      <c r="N20" s="56">
        <f t="shared" si="0"/>
        <v>0</v>
      </c>
      <c r="O20" s="74"/>
    </row>
    <row r="21" spans="1:15" x14ac:dyDescent="0.3">
      <c r="A21" s="45" t="s">
        <v>24</v>
      </c>
      <c r="B21" s="61">
        <f>$N$10</f>
        <v>1</v>
      </c>
      <c r="C21" s="61">
        <f>$N$11</f>
        <v>1</v>
      </c>
      <c r="D21" s="61">
        <f>$N$12</f>
        <v>1</v>
      </c>
      <c r="E21" s="61">
        <f>E6/100</f>
        <v>1</v>
      </c>
      <c r="F21" s="61">
        <f>F6/100</f>
        <v>1</v>
      </c>
      <c r="G21" s="45" t="s">
        <v>58</v>
      </c>
      <c r="H21" s="45">
        <f>160*B21+240*C21+240*D21+80*E21+80*F21</f>
        <v>800</v>
      </c>
      <c r="K21" s="67" t="s">
        <v>45</v>
      </c>
      <c r="L21" s="68">
        <v>64</v>
      </c>
      <c r="M21" s="55">
        <f t="shared" si="1"/>
        <v>0</v>
      </c>
      <c r="N21" s="56">
        <f t="shared" si="0"/>
        <v>0</v>
      </c>
      <c r="O21" s="74"/>
    </row>
    <row r="22" spans="1:15" ht="15" thickBot="1" x14ac:dyDescent="0.35">
      <c r="A22" s="45" t="s">
        <v>25</v>
      </c>
      <c r="B22" s="45">
        <f>$B$5</f>
        <v>131</v>
      </c>
      <c r="C22" s="45">
        <f>$C$5</f>
        <v>143</v>
      </c>
      <c r="D22" s="45">
        <f>$D$5</f>
        <v>136</v>
      </c>
      <c r="E22" s="45">
        <f>$E$5</f>
        <v>67</v>
      </c>
      <c r="F22" s="45">
        <f>$F$5</f>
        <v>69</v>
      </c>
      <c r="G22" s="45" t="s">
        <v>59</v>
      </c>
      <c r="H22" s="45">
        <f>SUM(B22:F22)</f>
        <v>546</v>
      </c>
      <c r="K22" s="75" t="s">
        <v>46</v>
      </c>
      <c r="L22" s="76">
        <v>66</v>
      </c>
      <c r="M22" s="59">
        <f t="shared" si="1"/>
        <v>0</v>
      </c>
      <c r="N22" s="60">
        <f t="shared" si="0"/>
        <v>0</v>
      </c>
      <c r="O22" s="74"/>
    </row>
    <row r="23" spans="1:15" x14ac:dyDescent="0.3">
      <c r="K23" s="77" t="s">
        <v>47</v>
      </c>
      <c r="L23" s="78">
        <v>65</v>
      </c>
      <c r="M23" s="79">
        <f>IF(K23=$G$4,$G$5,0)</f>
        <v>0</v>
      </c>
      <c r="N23" s="80">
        <f t="shared" si="0"/>
        <v>0</v>
      </c>
      <c r="O23" s="74"/>
    </row>
    <row r="24" spans="1:15" x14ac:dyDescent="0.3">
      <c r="K24" s="67" t="s">
        <v>48</v>
      </c>
      <c r="L24" s="54">
        <v>68</v>
      </c>
      <c r="M24" s="55">
        <f t="shared" ref="M24:M31" si="2">IF(K24=$G$4,$G$5,0)</f>
        <v>0</v>
      </c>
      <c r="N24" s="56">
        <f t="shared" si="0"/>
        <v>0</v>
      </c>
      <c r="O24" s="74"/>
    </row>
    <row r="25" spans="1:15" x14ac:dyDescent="0.3">
      <c r="K25" s="67" t="s">
        <v>49</v>
      </c>
      <c r="L25" s="54">
        <v>66</v>
      </c>
      <c r="M25" s="55">
        <f t="shared" si="2"/>
        <v>0</v>
      </c>
      <c r="N25" s="56">
        <f t="shared" si="0"/>
        <v>0</v>
      </c>
      <c r="O25" s="74"/>
    </row>
    <row r="26" spans="1:15" x14ac:dyDescent="0.3">
      <c r="K26" s="67" t="s">
        <v>50</v>
      </c>
      <c r="L26" s="54">
        <v>71</v>
      </c>
      <c r="M26" s="55">
        <f t="shared" si="2"/>
        <v>0</v>
      </c>
      <c r="N26" s="56">
        <f t="shared" si="0"/>
        <v>0</v>
      </c>
      <c r="O26" s="74"/>
    </row>
    <row r="27" spans="1:15" x14ac:dyDescent="0.3">
      <c r="K27" s="67" t="s">
        <v>51</v>
      </c>
      <c r="L27" s="54">
        <v>66</v>
      </c>
      <c r="M27" s="55">
        <f t="shared" si="2"/>
        <v>0</v>
      </c>
      <c r="N27" s="56">
        <f t="shared" si="0"/>
        <v>0</v>
      </c>
      <c r="O27" s="74"/>
    </row>
    <row r="28" spans="1:15" x14ac:dyDescent="0.3">
      <c r="K28" s="67" t="s">
        <v>52</v>
      </c>
      <c r="L28" s="81">
        <v>77</v>
      </c>
      <c r="M28" s="55">
        <f t="shared" si="2"/>
        <v>0</v>
      </c>
      <c r="N28" s="56">
        <f t="shared" si="0"/>
        <v>0</v>
      </c>
      <c r="O28" s="74"/>
    </row>
    <row r="29" spans="1:15" x14ac:dyDescent="0.3">
      <c r="K29" s="67" t="s">
        <v>53</v>
      </c>
      <c r="L29" s="54">
        <v>87</v>
      </c>
      <c r="M29" s="55">
        <f t="shared" si="2"/>
        <v>0</v>
      </c>
      <c r="N29" s="56">
        <f t="shared" si="0"/>
        <v>0</v>
      </c>
      <c r="O29" s="74"/>
    </row>
    <row r="30" spans="1:15" x14ac:dyDescent="0.3">
      <c r="K30" s="67" t="s">
        <v>54</v>
      </c>
      <c r="L30" s="54">
        <v>89</v>
      </c>
      <c r="M30" s="55">
        <f t="shared" si="2"/>
        <v>0</v>
      </c>
      <c r="N30" s="56">
        <f t="shared" si="0"/>
        <v>0</v>
      </c>
      <c r="O30" s="74"/>
    </row>
    <row r="31" spans="1:15" ht="15" thickBot="1" x14ac:dyDescent="0.35">
      <c r="K31" s="82" t="s">
        <v>55</v>
      </c>
      <c r="L31" s="58">
        <v>71</v>
      </c>
      <c r="M31" s="59">
        <f t="shared" si="2"/>
        <v>0</v>
      </c>
      <c r="N31" s="60">
        <f t="shared" si="0"/>
        <v>0</v>
      </c>
      <c r="O31" s="74"/>
    </row>
    <row r="33" spans="1:18" x14ac:dyDescent="0.3">
      <c r="K33" s="83"/>
    </row>
    <row r="34" spans="1:18" s="84" customFormat="1" x14ac:dyDescent="0.3"/>
    <row r="36" spans="1:18" x14ac:dyDescent="0.3">
      <c r="B36" s="45" t="s">
        <v>72</v>
      </c>
      <c r="C36" s="45" t="s">
        <v>73</v>
      </c>
      <c r="D36" s="45" t="s">
        <v>7</v>
      </c>
      <c r="E36" s="45" t="s">
        <v>0</v>
      </c>
      <c r="F36" s="45" t="s">
        <v>1</v>
      </c>
      <c r="G36" s="45" t="s">
        <v>2</v>
      </c>
      <c r="K36" s="45" t="s">
        <v>145</v>
      </c>
      <c r="L36" s="45" t="s">
        <v>146</v>
      </c>
      <c r="M36" s="45" t="s">
        <v>147</v>
      </c>
      <c r="N36" s="45" t="s">
        <v>150</v>
      </c>
      <c r="O36" s="45" t="s">
        <v>148</v>
      </c>
      <c r="P36" s="45" t="s">
        <v>149</v>
      </c>
      <c r="Q36" s="45" t="s">
        <v>163</v>
      </c>
      <c r="R36" s="45" t="s">
        <v>299</v>
      </c>
    </row>
    <row r="37" spans="1:18" x14ac:dyDescent="0.3">
      <c r="B37" s="45"/>
      <c r="C37" s="45"/>
      <c r="D37" s="45"/>
      <c r="E37" s="45">
        <v>3</v>
      </c>
      <c r="F37" s="45">
        <v>6</v>
      </c>
      <c r="G37" s="45">
        <v>1</v>
      </c>
      <c r="K37" s="45" t="str">
        <f>E38</f>
        <v>생명1</v>
      </c>
      <c r="L37" s="45">
        <f>VLOOKUP(E40,변표특수!$B$2:$E$103,3,FALSE)</f>
        <v>69.63</v>
      </c>
      <c r="M37" s="45">
        <f>VLOOKUP(E40,변표특수!$G$2:$J$103,3,FALSE)</f>
        <v>69.62</v>
      </c>
      <c r="N37" s="45">
        <f>VLOOKUP(E40,변표특수!$L$2:$O$103,3,FALSE)</f>
        <v>70.73</v>
      </c>
      <c r="O37" s="45">
        <f>VLOOKUP(E40,변표특수!$Q$2:$T$103,3,FALSE)</f>
        <v>70.75</v>
      </c>
      <c r="P37" s="45">
        <f>VLOOKUP(E40,변표특수!$V$2:$Y$103,3,FALSE)</f>
        <v>69.63</v>
      </c>
      <c r="Q37" s="45">
        <f>VLOOKUP(E40,변표특수!AA2:AB103,2,FALSE)</f>
        <v>69.63</v>
      </c>
      <c r="R37" s="45">
        <f>VLOOKUP(E40,변표특수!AD2:AF103,3,FALSE)</f>
        <v>69.62</v>
      </c>
    </row>
    <row r="38" spans="1:18" x14ac:dyDescent="0.3">
      <c r="A38" s="45"/>
      <c r="B38" s="45">
        <v>132</v>
      </c>
      <c r="C38" s="45">
        <v>138</v>
      </c>
      <c r="D38" s="45">
        <v>136</v>
      </c>
      <c r="E38" s="45" t="str">
        <f>INDEX($K$46:$K$53,$E$37,1)</f>
        <v>생명1</v>
      </c>
      <c r="F38" s="45" t="str">
        <f>INDEX($K$46:$K$53,$F$37,1)</f>
        <v>화학2</v>
      </c>
      <c r="G38" s="45" t="str">
        <f>INDEX($K$54:$K$62,G$37,1)</f>
        <v>독일어</v>
      </c>
      <c r="K38" s="45" t="str">
        <f>F38</f>
        <v>화학2</v>
      </c>
      <c r="L38" s="45">
        <f>VLOOKUP(F40,변표특수!$B$2:$E$103,3,FALSE)</f>
        <v>69.63</v>
      </c>
      <c r="M38" s="45">
        <f>VLOOKUP(F40,변표특수!$G$2:$J$103,3,FALSE)</f>
        <v>69.62</v>
      </c>
      <c r="N38" s="45">
        <f>VLOOKUP(F40,변표특수!$L$2:$O$103,3,FALSE)</f>
        <v>70.73</v>
      </c>
      <c r="O38" s="45">
        <f>VLOOKUP(F40,변표특수!$Q$2:$T$103,3,FALSE)</f>
        <v>70.75</v>
      </c>
      <c r="P38" s="45">
        <f>VLOOKUP(F40,변표특수!$V$2:$Y$103,3,FALSE)</f>
        <v>69.63</v>
      </c>
      <c r="Q38" s="45">
        <f>VLOOKUP(F40,변표특수!AA2:AB103,2,FALSE)</f>
        <v>69.63</v>
      </c>
      <c r="R38" s="45">
        <f>VLOOKUP(F40,변표특수!AD2:AF103,3,FALSE)</f>
        <v>69.62</v>
      </c>
    </row>
    <row r="39" spans="1:18" x14ac:dyDescent="0.3">
      <c r="A39" s="45" t="s">
        <v>3</v>
      </c>
      <c r="B39" s="45">
        <f>입력!C19</f>
        <v>132</v>
      </c>
      <c r="C39" s="45">
        <f>입력!C20</f>
        <v>138</v>
      </c>
      <c r="D39" s="45">
        <f>입력!C21</f>
        <v>136</v>
      </c>
      <c r="E39" s="45">
        <f>입력!C22</f>
        <v>69</v>
      </c>
      <c r="F39" s="45">
        <f>입력!C23</f>
        <v>58</v>
      </c>
      <c r="G39" s="45">
        <f>입력!$C$24</f>
        <v>0</v>
      </c>
    </row>
    <row r="40" spans="1:18" x14ac:dyDescent="0.3">
      <c r="A40" s="45" t="s">
        <v>4</v>
      </c>
      <c r="B40" s="45">
        <f>입력!D19</f>
        <v>100</v>
      </c>
      <c r="C40" s="45">
        <f>입력!D20</f>
        <v>100</v>
      </c>
      <c r="D40" s="45">
        <f>입력!D21</f>
        <v>100</v>
      </c>
      <c r="E40" s="45">
        <f>입력!D22</f>
        <v>100</v>
      </c>
      <c r="F40" s="45">
        <f>입력!D23</f>
        <v>100</v>
      </c>
      <c r="G40" s="45">
        <f>입력!$D$24</f>
        <v>0</v>
      </c>
    </row>
    <row r="41" spans="1:18" x14ac:dyDescent="0.3">
      <c r="D41" s="45" t="s">
        <v>144</v>
      </c>
      <c r="E41" s="46">
        <f>VLOOKUP(E40,변표일반!B2:E103,3,FALSE)</f>
        <v>69.63</v>
      </c>
      <c r="F41" s="85">
        <f>VLOOKUP(F40,변표일반!B2:E103,3,FALSE)</f>
        <v>69.63</v>
      </c>
    </row>
    <row r="42" spans="1:18" ht="15" thickBot="1" x14ac:dyDescent="0.35">
      <c r="F42" s="45" t="s">
        <v>13</v>
      </c>
      <c r="G42" s="46">
        <f>VLOOKUP(G40,변표일반!B36:E137,4,FALSE)</f>
        <v>33.555555555555557</v>
      </c>
    </row>
    <row r="43" spans="1:18" x14ac:dyDescent="0.3">
      <c r="K43" s="86" t="s">
        <v>74</v>
      </c>
      <c r="L43" s="49">
        <f>B38</f>
        <v>132</v>
      </c>
      <c r="M43" s="50">
        <f>B39</f>
        <v>132</v>
      </c>
      <c r="N43" s="51">
        <f>M43/L43</f>
        <v>1</v>
      </c>
    </row>
    <row r="44" spans="1:18" x14ac:dyDescent="0.3">
      <c r="A44" s="200" t="s">
        <v>125</v>
      </c>
      <c r="B44" s="200"/>
      <c r="C44" s="200"/>
      <c r="D44" s="200"/>
      <c r="E44" s="200"/>
      <c r="F44" s="200"/>
      <c r="G44" s="200"/>
      <c r="H44" s="200"/>
      <c r="K44" s="87" t="s">
        <v>75</v>
      </c>
      <c r="L44" s="54">
        <f>C38</f>
        <v>138</v>
      </c>
      <c r="M44" s="55">
        <f>C39</f>
        <v>138</v>
      </c>
      <c r="N44" s="56">
        <f>M44/L44</f>
        <v>1</v>
      </c>
    </row>
    <row r="45" spans="1:18" ht="15" thickBot="1" x14ac:dyDescent="0.35">
      <c r="A45" s="45"/>
      <c r="B45" s="45" t="s">
        <v>126</v>
      </c>
      <c r="C45" s="45" t="s">
        <v>127</v>
      </c>
      <c r="D45" s="45" t="s">
        <v>7</v>
      </c>
      <c r="E45" s="45" t="s">
        <v>0</v>
      </c>
      <c r="F45" s="45" t="s">
        <v>1</v>
      </c>
      <c r="G45" s="45" t="s">
        <v>32</v>
      </c>
      <c r="H45" s="45" t="s">
        <v>14</v>
      </c>
      <c r="K45" s="88" t="s">
        <v>57</v>
      </c>
      <c r="L45" s="58">
        <f>D38</f>
        <v>136</v>
      </c>
      <c r="M45" s="59">
        <f>D39</f>
        <v>136</v>
      </c>
      <c r="N45" s="60">
        <f>M45/L45</f>
        <v>1</v>
      </c>
    </row>
    <row r="46" spans="1:18" ht="15" thickBot="1" x14ac:dyDescent="0.35">
      <c r="A46" s="45" t="s">
        <v>29</v>
      </c>
      <c r="B46" s="45">
        <f>$B$40</f>
        <v>100</v>
      </c>
      <c r="C46" s="45">
        <f>$C$40</f>
        <v>100</v>
      </c>
      <c r="D46" s="45">
        <f>$D$40</f>
        <v>100</v>
      </c>
      <c r="E46" s="45">
        <f>$E$40</f>
        <v>100</v>
      </c>
      <c r="F46" s="45">
        <f>$F$40</f>
        <v>100</v>
      </c>
      <c r="G46" s="45" t="s">
        <v>33</v>
      </c>
      <c r="H46" s="45">
        <f>B46+C46*3.5+D46*3.5+E46+F46</f>
        <v>1000</v>
      </c>
      <c r="K46" s="89" t="s">
        <v>66</v>
      </c>
      <c r="L46" s="63">
        <v>69</v>
      </c>
      <c r="M46" s="50">
        <f>IF(K46=$E$38,$E$39,IF(K46=$F$38,$F$39,0))</f>
        <v>0</v>
      </c>
      <c r="N46" s="64">
        <f>M46/L46</f>
        <v>0</v>
      </c>
      <c r="O46" s="90" t="s">
        <v>76</v>
      </c>
    </row>
    <row r="47" spans="1:18" x14ac:dyDescent="0.3">
      <c r="A47" s="45" t="s">
        <v>10</v>
      </c>
      <c r="B47" s="45">
        <f>B39*0.2</f>
        <v>26.400000000000002</v>
      </c>
      <c r="C47" s="45">
        <f>C39*0.35</f>
        <v>48.3</v>
      </c>
      <c r="D47" s="45">
        <f>D39*0.2</f>
        <v>27.200000000000003</v>
      </c>
      <c r="E47" s="45">
        <f>R37*0.25</f>
        <v>17.405000000000001</v>
      </c>
      <c r="F47" s="45">
        <f>R38*0.25</f>
        <v>17.405000000000001</v>
      </c>
      <c r="G47" s="45" t="s">
        <v>34</v>
      </c>
      <c r="H47" s="45">
        <f>SUM(B47:F47)*7/2</f>
        <v>478.48500000000001</v>
      </c>
      <c r="K47" s="91" t="s">
        <v>67</v>
      </c>
      <c r="L47" s="68">
        <v>71</v>
      </c>
      <c r="M47" s="55">
        <f>IF(K47=$E$38,$E$39,IF(K47=$F$38,$F$39,0))</f>
        <v>0</v>
      </c>
      <c r="N47" s="69">
        <f t="shared" ref="N47:N52" si="3">M47/L47</f>
        <v>0</v>
      </c>
      <c r="O47" s="119">
        <f>LARGE(N46:N53,1)</f>
        <v>0.971830985915493</v>
      </c>
    </row>
    <row r="48" spans="1:18" ht="15" thickBot="1" x14ac:dyDescent="0.35">
      <c r="A48" s="45" t="s">
        <v>16</v>
      </c>
      <c r="B48" s="61">
        <f>$N$43</f>
        <v>1</v>
      </c>
      <c r="C48" s="61">
        <f>$N$44</f>
        <v>1</v>
      </c>
      <c r="D48" s="61">
        <f>$N$45</f>
        <v>1</v>
      </c>
      <c r="E48" s="61">
        <f>$O$47</f>
        <v>0.971830985915493</v>
      </c>
      <c r="F48" s="61">
        <f>$O$48</f>
        <v>0.80555555555555558</v>
      </c>
      <c r="G48" s="45" t="s">
        <v>59</v>
      </c>
      <c r="H48" s="45">
        <f>(ROUND(B48,2)*250+ROUND(C48,2)*300+ROUND(D48,2)*250+ROUND(E48*100+F48*100,2))</f>
        <v>977.74</v>
      </c>
      <c r="K48" s="91" t="s">
        <v>129</v>
      </c>
      <c r="L48" s="68">
        <v>71</v>
      </c>
      <c r="M48" s="55">
        <f t="shared" ref="M48:M53" si="4">IF(K48=$E$38,$E$39,IF(K48=$F$38,$F$39,0))</f>
        <v>69</v>
      </c>
      <c r="N48" s="69">
        <f t="shared" si="3"/>
        <v>0.971830985915493</v>
      </c>
      <c r="O48" s="120">
        <f>LARGE(N46:N53,2)</f>
        <v>0.80555555555555558</v>
      </c>
    </row>
    <row r="49" spans="1:15" ht="15" thickBot="1" x14ac:dyDescent="0.35">
      <c r="A49" s="45" t="s">
        <v>18</v>
      </c>
      <c r="B49" s="45">
        <f>$B$40</f>
        <v>100</v>
      </c>
      <c r="C49" s="45">
        <f>$C$40</f>
        <v>100</v>
      </c>
      <c r="D49" s="45">
        <f>$D$40</f>
        <v>100</v>
      </c>
      <c r="E49" s="45">
        <f>$E$40</f>
        <v>100</v>
      </c>
      <c r="F49" s="45">
        <f>$F$40</f>
        <v>100</v>
      </c>
      <c r="G49" s="45" t="s">
        <v>33</v>
      </c>
      <c r="H49" s="45">
        <f>(B49+C49+D49+AVERAGE(E49:F49))*2</f>
        <v>800</v>
      </c>
      <c r="K49" s="91" t="s">
        <v>68</v>
      </c>
      <c r="L49" s="68">
        <v>73</v>
      </c>
      <c r="M49" s="55">
        <f t="shared" si="4"/>
        <v>0</v>
      </c>
      <c r="N49" s="69">
        <f t="shared" si="3"/>
        <v>0</v>
      </c>
      <c r="O49" s="121" t="s">
        <v>61</v>
      </c>
    </row>
    <row r="50" spans="1:15" x14ac:dyDescent="0.3">
      <c r="A50" s="45" t="s">
        <v>130</v>
      </c>
      <c r="B50" s="45">
        <f>B39*0.2</f>
        <v>26.400000000000002</v>
      </c>
      <c r="C50" s="45">
        <f>C39*0.3</f>
        <v>41.4</v>
      </c>
      <c r="D50" s="45">
        <f>D39*0.3</f>
        <v>40.799999999999997</v>
      </c>
      <c r="E50" s="45">
        <f>E39*0.2</f>
        <v>13.8</v>
      </c>
      <c r="F50" s="45">
        <f>F39*0.2</f>
        <v>11.600000000000001</v>
      </c>
      <c r="G50" s="45" t="s">
        <v>59</v>
      </c>
      <c r="H50" s="45">
        <f>(B50+C50+D50+E50+F50)</f>
        <v>134</v>
      </c>
      <c r="K50" s="91" t="s">
        <v>69</v>
      </c>
      <c r="L50" s="68">
        <v>66</v>
      </c>
      <c r="M50" s="55">
        <f t="shared" si="4"/>
        <v>0</v>
      </c>
      <c r="N50" s="69">
        <f t="shared" si="3"/>
        <v>0</v>
      </c>
      <c r="O50" s="122">
        <f>LARGE(N46:N62,1)</f>
        <v>0.971830985915493</v>
      </c>
    </row>
    <row r="51" spans="1:15" ht="15" thickBot="1" x14ac:dyDescent="0.35">
      <c r="A51" s="45" t="s">
        <v>63</v>
      </c>
      <c r="B51" s="45">
        <f>$B$40</f>
        <v>100</v>
      </c>
      <c r="C51" s="45">
        <f>$C$40</f>
        <v>100</v>
      </c>
      <c r="D51" s="45">
        <f>$D$40</f>
        <v>100</v>
      </c>
      <c r="E51" s="45">
        <f>$E$40</f>
        <v>100</v>
      </c>
      <c r="F51" s="45">
        <f>$F$40</f>
        <v>100</v>
      </c>
      <c r="G51" s="45" t="s">
        <v>33</v>
      </c>
      <c r="H51" s="45">
        <f>(B51+C51*1.15+D51+(E51+F51)*1.05/2)*2.5</f>
        <v>1050</v>
      </c>
      <c r="K51" s="91" t="s">
        <v>70</v>
      </c>
      <c r="L51" s="68">
        <v>72</v>
      </c>
      <c r="M51" s="55">
        <f t="shared" si="4"/>
        <v>58</v>
      </c>
      <c r="N51" s="69">
        <f t="shared" si="3"/>
        <v>0.80555555555555558</v>
      </c>
      <c r="O51" s="123">
        <f>LARGE(N46:N62,2)</f>
        <v>0.80555555555555558</v>
      </c>
    </row>
    <row r="52" spans="1:15" x14ac:dyDescent="0.3">
      <c r="A52" s="45" t="s">
        <v>64</v>
      </c>
      <c r="B52" s="45">
        <f>$B$40</f>
        <v>100</v>
      </c>
      <c r="C52" s="45">
        <f>$C$40</f>
        <v>100</v>
      </c>
      <c r="D52" s="45">
        <f>$D$40</f>
        <v>100</v>
      </c>
      <c r="E52" s="45">
        <f>$E$40</f>
        <v>100</v>
      </c>
      <c r="F52" s="45">
        <f>$F$40</f>
        <v>100</v>
      </c>
      <c r="G52" s="45" t="s">
        <v>33</v>
      </c>
      <c r="H52" s="45">
        <f>240+(B51+C51*1.15+D51+(E51+F51)*1.05/2)*0.9</f>
        <v>618</v>
      </c>
      <c r="K52" s="91" t="s">
        <v>128</v>
      </c>
      <c r="L52" s="68">
        <v>67</v>
      </c>
      <c r="M52" s="55">
        <f t="shared" si="4"/>
        <v>0</v>
      </c>
      <c r="N52" s="56">
        <f t="shared" si="3"/>
        <v>0</v>
      </c>
    </row>
    <row r="53" spans="1:15" ht="15" thickBot="1" x14ac:dyDescent="0.35">
      <c r="A53" s="45" t="s">
        <v>62</v>
      </c>
      <c r="B53" s="45">
        <f>$B$39</f>
        <v>132</v>
      </c>
      <c r="C53" s="45">
        <f>$C$39</f>
        <v>138</v>
      </c>
      <c r="D53" s="45">
        <f>$D$39</f>
        <v>136</v>
      </c>
      <c r="E53" s="45">
        <f>$E$39</f>
        <v>69</v>
      </c>
      <c r="F53" s="45">
        <f>$F$39</f>
        <v>58</v>
      </c>
      <c r="G53" s="45" t="s">
        <v>59</v>
      </c>
      <c r="H53" s="45">
        <f>(B53+C53+D53+E53+F53)*3/4</f>
        <v>399.75</v>
      </c>
      <c r="K53" s="92" t="s">
        <v>71</v>
      </c>
      <c r="L53" s="76">
        <v>68</v>
      </c>
      <c r="M53" s="59">
        <f t="shared" si="4"/>
        <v>0</v>
      </c>
      <c r="N53" s="60">
        <f t="shared" ref="N53:N62" si="5">M53/L53</f>
        <v>0</v>
      </c>
    </row>
    <row r="54" spans="1:15" x14ac:dyDescent="0.3">
      <c r="A54" s="45" t="s">
        <v>27</v>
      </c>
      <c r="B54" s="45">
        <f>$B$40</f>
        <v>100</v>
      </c>
      <c r="C54" s="45">
        <f>$C$40</f>
        <v>100</v>
      </c>
      <c r="D54" s="45">
        <f>$D$40</f>
        <v>100</v>
      </c>
      <c r="E54" s="45">
        <f>$E$40</f>
        <v>100</v>
      </c>
      <c r="F54" s="45">
        <f>$F$40</f>
        <v>100</v>
      </c>
      <c r="G54" s="45" t="s">
        <v>33</v>
      </c>
      <c r="H54" s="45">
        <f>(B54+C54*1.2+D54*1.15+(E54+F54)*1.05/2)*2.5</f>
        <v>1100</v>
      </c>
      <c r="K54" s="77" t="s">
        <v>47</v>
      </c>
      <c r="L54" s="78">
        <v>65</v>
      </c>
      <c r="M54" s="79">
        <f>IF(K54=$G$38,$G$39,0)</f>
        <v>0</v>
      </c>
      <c r="N54" s="80">
        <f t="shared" si="5"/>
        <v>0</v>
      </c>
    </row>
    <row r="55" spans="1:15" x14ac:dyDescent="0.3">
      <c r="A55" s="45" t="s">
        <v>22</v>
      </c>
      <c r="B55" s="45">
        <f>$B$40</f>
        <v>100</v>
      </c>
      <c r="C55" s="45">
        <f>$C$40</f>
        <v>100</v>
      </c>
      <c r="D55" s="45">
        <f>$D$40</f>
        <v>100</v>
      </c>
      <c r="E55" s="45">
        <f>LARGE(E40:F40,1)</f>
        <v>100</v>
      </c>
      <c r="F55" s="45"/>
      <c r="G55" s="45" t="s">
        <v>65</v>
      </c>
      <c r="H55" s="45">
        <f>B55*0.3+C55*0.3+D55*0.3+E55*0.1</f>
        <v>100</v>
      </c>
      <c r="K55" s="67" t="s">
        <v>48</v>
      </c>
      <c r="L55" s="54">
        <v>68</v>
      </c>
      <c r="M55" s="55">
        <f t="shared" ref="M55:M62" si="6">IF(K55=$G$38,$G$39,0)</f>
        <v>0</v>
      </c>
      <c r="N55" s="56">
        <f t="shared" si="5"/>
        <v>0</v>
      </c>
    </row>
    <row r="56" spans="1:15" x14ac:dyDescent="0.3">
      <c r="A56" s="45" t="s">
        <v>131</v>
      </c>
      <c r="B56" s="61">
        <f>$N$43</f>
        <v>1</v>
      </c>
      <c r="C56" s="61">
        <f>$N$44</f>
        <v>1</v>
      </c>
      <c r="D56" s="61">
        <f>$N$45</f>
        <v>1</v>
      </c>
      <c r="E56" s="61">
        <f>$E$40/100</f>
        <v>1</v>
      </c>
      <c r="F56" s="61">
        <f>$F$40/100</f>
        <v>1</v>
      </c>
      <c r="G56" s="45" t="s">
        <v>58</v>
      </c>
      <c r="H56" s="45">
        <f>350+(10*B56+15*C56+15*D56+5*E56+5*F56)</f>
        <v>400</v>
      </c>
      <c r="K56" s="67" t="s">
        <v>49</v>
      </c>
      <c r="L56" s="54">
        <v>66</v>
      </c>
      <c r="M56" s="55">
        <f t="shared" si="6"/>
        <v>0</v>
      </c>
      <c r="N56" s="56">
        <f t="shared" si="5"/>
        <v>0</v>
      </c>
    </row>
    <row r="57" spans="1:15" x14ac:dyDescent="0.3">
      <c r="A57" s="45" t="s">
        <v>132</v>
      </c>
      <c r="B57" s="61">
        <f>$N$43</f>
        <v>1</v>
      </c>
      <c r="C57" s="61">
        <f>$N$44</f>
        <v>1</v>
      </c>
      <c r="D57" s="61">
        <f>$N$45</f>
        <v>1</v>
      </c>
      <c r="E57" s="61">
        <f>$E$40/100</f>
        <v>1</v>
      </c>
      <c r="F57" s="61">
        <f>$F$40/100</f>
        <v>1</v>
      </c>
      <c r="G57" s="45" t="s">
        <v>58</v>
      </c>
      <c r="H57" s="45">
        <f>160*B57+240*C57+240*D57+80*E57+80*F57</f>
        <v>800</v>
      </c>
      <c r="K57" s="67" t="s">
        <v>50</v>
      </c>
      <c r="L57" s="54">
        <v>71</v>
      </c>
      <c r="M57" s="55">
        <f t="shared" si="6"/>
        <v>0</v>
      </c>
      <c r="N57" s="56">
        <f t="shared" si="5"/>
        <v>0</v>
      </c>
    </row>
    <row r="58" spans="1:15" x14ac:dyDescent="0.3">
      <c r="A58" s="45" t="s">
        <v>133</v>
      </c>
      <c r="B58" s="45">
        <f>$B$39</f>
        <v>132</v>
      </c>
      <c r="C58" s="45">
        <f>$C$39</f>
        <v>138</v>
      </c>
      <c r="D58" s="45">
        <f>$D$39</f>
        <v>136</v>
      </c>
      <c r="E58" s="45">
        <f>$E$39</f>
        <v>69</v>
      </c>
      <c r="F58" s="45">
        <f>$F$39</f>
        <v>58</v>
      </c>
      <c r="G58" s="45" t="s">
        <v>59</v>
      </c>
      <c r="H58" s="45">
        <f>SUM(B58:F58)</f>
        <v>533</v>
      </c>
      <c r="K58" s="67" t="s">
        <v>51</v>
      </c>
      <c r="L58" s="54">
        <v>66</v>
      </c>
      <c r="M58" s="55">
        <f t="shared" si="6"/>
        <v>0</v>
      </c>
      <c r="N58" s="56">
        <f t="shared" si="5"/>
        <v>0</v>
      </c>
    </row>
    <row r="59" spans="1:15" x14ac:dyDescent="0.3">
      <c r="K59" s="67" t="s">
        <v>52</v>
      </c>
      <c r="L59" s="81">
        <v>77</v>
      </c>
      <c r="M59" s="55">
        <f t="shared" si="6"/>
        <v>0</v>
      </c>
      <c r="N59" s="56">
        <f t="shared" si="5"/>
        <v>0</v>
      </c>
    </row>
    <row r="60" spans="1:15" x14ac:dyDescent="0.3">
      <c r="A60" s="200" t="s">
        <v>134</v>
      </c>
      <c r="B60" s="200"/>
      <c r="C60" s="200"/>
      <c r="D60" s="200"/>
      <c r="E60" s="200"/>
      <c r="F60" s="200"/>
      <c r="G60" s="200"/>
      <c r="H60" s="200"/>
      <c r="K60" s="67" t="s">
        <v>53</v>
      </c>
      <c r="L60" s="54">
        <v>87</v>
      </c>
      <c r="M60" s="55">
        <f t="shared" si="6"/>
        <v>0</v>
      </c>
      <c r="N60" s="56">
        <f t="shared" si="5"/>
        <v>0</v>
      </c>
    </row>
    <row r="61" spans="1:15" x14ac:dyDescent="0.3">
      <c r="A61" s="45" t="s">
        <v>135</v>
      </c>
      <c r="B61" s="45">
        <f>B40</f>
        <v>100</v>
      </c>
      <c r="C61" s="45">
        <f>C40</f>
        <v>100</v>
      </c>
      <c r="D61" s="45">
        <f>D40</f>
        <v>100</v>
      </c>
      <c r="E61" s="45"/>
      <c r="F61" s="45"/>
      <c r="G61" s="45" t="s">
        <v>141</v>
      </c>
      <c r="H61" s="45">
        <f>IF(M67="지원불가",M67,(B61*1.4+C61*2.1+D61*1.75+M67*1.75))</f>
        <v>700</v>
      </c>
      <c r="K61" s="67" t="s">
        <v>54</v>
      </c>
      <c r="L61" s="54">
        <v>89</v>
      </c>
      <c r="M61" s="55">
        <f t="shared" si="6"/>
        <v>0</v>
      </c>
      <c r="N61" s="56">
        <f t="shared" si="5"/>
        <v>0</v>
      </c>
    </row>
    <row r="62" spans="1:15" ht="15" thickBot="1" x14ac:dyDescent="0.35">
      <c r="A62" s="45" t="s">
        <v>246</v>
      </c>
      <c r="B62" s="61">
        <f>ROUND(N43*100,2)</f>
        <v>100</v>
      </c>
      <c r="C62" s="61">
        <f>ROUND(N44*100,2)</f>
        <v>100</v>
      </c>
      <c r="D62" s="61">
        <f>ROUND(N45*100,2)</f>
        <v>100</v>
      </c>
      <c r="E62" s="45">
        <f>M75</f>
        <v>105</v>
      </c>
      <c r="F62" s="45"/>
      <c r="G62" s="45" t="s">
        <v>143</v>
      </c>
      <c r="H62" s="45">
        <f>(B62*0.15+C62*0.35+D62*0.35+E62*0.15)*9</f>
        <v>906.75</v>
      </c>
      <c r="K62" s="82" t="s">
        <v>55</v>
      </c>
      <c r="L62" s="58">
        <v>71</v>
      </c>
      <c r="M62" s="59">
        <f t="shared" si="6"/>
        <v>0</v>
      </c>
      <c r="N62" s="60">
        <f t="shared" si="5"/>
        <v>0</v>
      </c>
    </row>
    <row r="63" spans="1:15" x14ac:dyDescent="0.3">
      <c r="A63" s="45" t="s">
        <v>136</v>
      </c>
      <c r="B63" s="45">
        <f>B39</f>
        <v>132</v>
      </c>
      <c r="C63" s="45">
        <f>C39</f>
        <v>138</v>
      </c>
      <c r="D63" s="45">
        <f>D39</f>
        <v>136</v>
      </c>
      <c r="E63" s="46">
        <f>L37</f>
        <v>69.63</v>
      </c>
      <c r="F63" s="46">
        <f>L38</f>
        <v>69.63</v>
      </c>
      <c r="G63" s="45" t="s">
        <v>143</v>
      </c>
      <c r="H63" s="45">
        <f>(B63+C63*1.5+D63+(E63+F63)*1.5)/2</f>
        <v>341.94499999999999</v>
      </c>
    </row>
    <row r="64" spans="1:15" x14ac:dyDescent="0.3">
      <c r="K64" s="201" t="s">
        <v>137</v>
      </c>
      <c r="L64" s="201"/>
    </row>
    <row r="65" spans="1:18" x14ac:dyDescent="0.3">
      <c r="A65" s="200" t="s">
        <v>151</v>
      </c>
      <c r="B65" s="200"/>
      <c r="C65" s="200"/>
      <c r="D65" s="200"/>
      <c r="E65" s="200"/>
      <c r="F65" s="200"/>
      <c r="G65" s="200"/>
      <c r="H65" s="200"/>
      <c r="K65" s="93" t="s">
        <v>66</v>
      </c>
      <c r="L65" s="45">
        <f>IF(K65=$E$38,E40,IF(K65=$F$38,F40,0))</f>
        <v>0</v>
      </c>
      <c r="M65" s="45">
        <f>LARGE(L65:L72,1)</f>
        <v>100</v>
      </c>
      <c r="O65" s="93" t="s">
        <v>66</v>
      </c>
      <c r="P65" s="45">
        <f t="shared" ref="P65:P70" si="7">IF(L65&gt;0,1,0)</f>
        <v>0</v>
      </c>
      <c r="Q65" s="45">
        <f>SUM(P65:P66)</f>
        <v>0</v>
      </c>
      <c r="R65" s="45" t="str">
        <f>IF(Q65&gt;1,"지원불가",IF(Q67&gt;1,"지원불가",IF(Q69&gt;1,"지원불가",IF(Q71&gt;1,"지원불가","지원가능"))))</f>
        <v>지원가능</v>
      </c>
    </row>
    <row r="66" spans="1:18" x14ac:dyDescent="0.3">
      <c r="A66" s="46" t="s">
        <v>77</v>
      </c>
      <c r="B66" s="45"/>
      <c r="C66" s="45">
        <f>C40</f>
        <v>100</v>
      </c>
      <c r="D66" s="45">
        <f>D40</f>
        <v>100</v>
      </c>
      <c r="E66" s="94">
        <f>E40</f>
        <v>100</v>
      </c>
      <c r="F66" s="94">
        <f>F40</f>
        <v>100</v>
      </c>
      <c r="G66" s="45" t="s">
        <v>157</v>
      </c>
      <c r="H66" s="45">
        <f>(C66+D66+(E66+F66)/2)*5/3</f>
        <v>500</v>
      </c>
      <c r="K66" s="93" t="s">
        <v>138</v>
      </c>
      <c r="L66" s="45">
        <f>IF(K66=$E$38,$E$40,IF(K66=$F$38,$F$40,0))</f>
        <v>0</v>
      </c>
      <c r="M66" s="45">
        <f>LARGE(L65:L72,2)</f>
        <v>100</v>
      </c>
      <c r="O66" s="93" t="s">
        <v>69</v>
      </c>
      <c r="P66" s="45">
        <f t="shared" si="7"/>
        <v>0</v>
      </c>
    </row>
    <row r="67" spans="1:18" x14ac:dyDescent="0.3">
      <c r="A67" s="46" t="s">
        <v>83</v>
      </c>
      <c r="B67" s="45">
        <f>B40</f>
        <v>100</v>
      </c>
      <c r="C67" s="45">
        <f>C40</f>
        <v>100</v>
      </c>
      <c r="D67" s="45">
        <f>D40</f>
        <v>100</v>
      </c>
      <c r="E67" s="94">
        <f>E40</f>
        <v>100</v>
      </c>
      <c r="F67" s="95">
        <f>F40</f>
        <v>100</v>
      </c>
      <c r="G67" s="45" t="s">
        <v>157</v>
      </c>
      <c r="H67" s="45">
        <f>(B67*0.2+C67*0.3+D67*0.3+(E67+F67)/2*0.2)</f>
        <v>100</v>
      </c>
      <c r="K67" s="93" t="s">
        <v>139</v>
      </c>
      <c r="L67" s="45">
        <f t="shared" ref="L67:L72" si="8">IF(K67=$E$38,$E$40,IF(K67=$F$38,$F$40,0))</f>
        <v>0</v>
      </c>
      <c r="M67" s="45">
        <f>IF(R65="지원가능",AVERAGE(M65:M66),R65)</f>
        <v>100</v>
      </c>
      <c r="O67" s="93" t="s">
        <v>67</v>
      </c>
      <c r="P67" s="45">
        <f t="shared" si="7"/>
        <v>0</v>
      </c>
      <c r="Q67" s="45">
        <f>SUM(P67:P68)</f>
        <v>1</v>
      </c>
    </row>
    <row r="68" spans="1:18" x14ac:dyDescent="0.3">
      <c r="A68" s="46" t="s">
        <v>81</v>
      </c>
      <c r="B68" s="45"/>
      <c r="C68" s="45">
        <f>C39</f>
        <v>138</v>
      </c>
      <c r="D68" s="45">
        <f>D39</f>
        <v>136</v>
      </c>
      <c r="E68" s="94">
        <f>M37</f>
        <v>69.62</v>
      </c>
      <c r="F68" s="94">
        <f>M38</f>
        <v>69.62</v>
      </c>
      <c r="G68" s="45" t="s">
        <v>143</v>
      </c>
      <c r="H68" s="45">
        <f>((C68*2+D68+(E68+F68)*2)/(C38*2+D38+변표특수!I3*4))*500</f>
        <v>500</v>
      </c>
      <c r="K68" s="93" t="s">
        <v>140</v>
      </c>
      <c r="L68" s="45">
        <f t="shared" si="8"/>
        <v>100</v>
      </c>
      <c r="O68" s="93" t="s">
        <v>70</v>
      </c>
      <c r="P68" s="45">
        <f t="shared" si="7"/>
        <v>1</v>
      </c>
    </row>
    <row r="69" spans="1:18" x14ac:dyDescent="0.3">
      <c r="A69" s="46" t="s">
        <v>84</v>
      </c>
      <c r="B69" s="45">
        <f>B39</f>
        <v>132</v>
      </c>
      <c r="C69" s="45">
        <f>C39</f>
        <v>138</v>
      </c>
      <c r="D69" s="45">
        <f>D39</f>
        <v>136</v>
      </c>
      <c r="E69" s="94">
        <f>M37</f>
        <v>69.62</v>
      </c>
      <c r="F69" s="94">
        <f>M38</f>
        <v>69.62</v>
      </c>
      <c r="G69" s="45" t="s">
        <v>143</v>
      </c>
      <c r="H69" s="45">
        <f>((B69+C69*1.5+D69+(E69+F69)*1.5)/(B38+C38*1.5+D38+변표특수!I3*3))*500</f>
        <v>500</v>
      </c>
      <c r="K69" s="93" t="s">
        <v>129</v>
      </c>
      <c r="L69" s="45">
        <f t="shared" si="8"/>
        <v>100</v>
      </c>
      <c r="O69" s="93" t="s">
        <v>129</v>
      </c>
      <c r="P69" s="45">
        <f t="shared" si="7"/>
        <v>1</v>
      </c>
      <c r="Q69" s="45">
        <f>SUM(P69:P70)</f>
        <v>1</v>
      </c>
    </row>
    <row r="70" spans="1:18" x14ac:dyDescent="0.3">
      <c r="A70" s="46" t="s">
        <v>85</v>
      </c>
      <c r="B70" s="45">
        <f>B39</f>
        <v>132</v>
      </c>
      <c r="C70" s="45">
        <f>C39</f>
        <v>138</v>
      </c>
      <c r="D70" s="45">
        <f>D39</f>
        <v>136</v>
      </c>
      <c r="E70" s="94">
        <f>E39</f>
        <v>69</v>
      </c>
      <c r="F70" s="95">
        <f>F39</f>
        <v>58</v>
      </c>
      <c r="G70" s="45" t="s">
        <v>159</v>
      </c>
      <c r="H70" s="45">
        <f>(B70/200*0.2+C70/200*0.3+D70/200*0.3+(E70+F70)/200*0.2)*1000</f>
        <v>669.99999999999989</v>
      </c>
      <c r="K70" s="93" t="s">
        <v>128</v>
      </c>
      <c r="L70" s="45">
        <f t="shared" si="8"/>
        <v>0</v>
      </c>
      <c r="O70" s="93" t="s">
        <v>128</v>
      </c>
      <c r="P70" s="45">
        <f t="shared" si="7"/>
        <v>0</v>
      </c>
    </row>
    <row r="71" spans="1:18" x14ac:dyDescent="0.3">
      <c r="A71" s="46" t="s">
        <v>86</v>
      </c>
      <c r="B71" s="45"/>
      <c r="C71" s="45">
        <f>C40</f>
        <v>100</v>
      </c>
      <c r="D71" s="45">
        <f>D40</f>
        <v>100</v>
      </c>
      <c r="E71" s="94">
        <f>E40</f>
        <v>100</v>
      </c>
      <c r="F71" s="94">
        <f>F40</f>
        <v>100</v>
      </c>
      <c r="G71" s="45" t="s">
        <v>152</v>
      </c>
      <c r="H71" s="45">
        <f>(C71*1.08+D71+(E71+F71)/2)*2</f>
        <v>616</v>
      </c>
      <c r="K71" s="93" t="s">
        <v>68</v>
      </c>
      <c r="L71" s="45">
        <f>IF(K71=$E$38,$E$40,IF(K71=$F$38,$F$40,0))</f>
        <v>0</v>
      </c>
      <c r="O71" s="93" t="s">
        <v>68</v>
      </c>
      <c r="P71" s="45">
        <f>IF(L71&gt;0,2,0)</f>
        <v>0</v>
      </c>
      <c r="Q71" s="45">
        <f>SUM(P71:P72)</f>
        <v>0</v>
      </c>
    </row>
    <row r="72" spans="1:18" x14ac:dyDescent="0.3">
      <c r="A72" s="46" t="s">
        <v>89</v>
      </c>
      <c r="B72" s="61">
        <f>N43*100</f>
        <v>100</v>
      </c>
      <c r="C72" s="61">
        <f>N44*100</f>
        <v>100</v>
      </c>
      <c r="D72" s="61">
        <f>N45*100</f>
        <v>100</v>
      </c>
      <c r="E72" s="94">
        <f>E40</f>
        <v>100</v>
      </c>
      <c r="F72" s="94">
        <f>F40</f>
        <v>100</v>
      </c>
      <c r="G72" s="45" t="s">
        <v>156</v>
      </c>
      <c r="H72" s="45">
        <f>B72*0.2+C72*0.3+D72*0.3+(E72+F72)/2*0.2</f>
        <v>100</v>
      </c>
      <c r="K72" s="93" t="s">
        <v>71</v>
      </c>
      <c r="L72" s="45">
        <f t="shared" si="8"/>
        <v>0</v>
      </c>
      <c r="O72" s="93" t="s">
        <v>71</v>
      </c>
      <c r="P72" s="45">
        <f>IF(L72&gt;0,2,0)</f>
        <v>0</v>
      </c>
    </row>
    <row r="73" spans="1:18" x14ac:dyDescent="0.3">
      <c r="A73" s="46" t="s">
        <v>87</v>
      </c>
      <c r="B73" s="45">
        <f>B38</f>
        <v>132</v>
      </c>
      <c r="C73" s="45">
        <f>C39</f>
        <v>138</v>
      </c>
      <c r="D73" s="45">
        <f>D39</f>
        <v>136</v>
      </c>
      <c r="E73" s="94">
        <f>E39</f>
        <v>69</v>
      </c>
      <c r="F73" s="94">
        <f>F39</f>
        <v>58</v>
      </c>
      <c r="G73" s="45" t="s">
        <v>155</v>
      </c>
      <c r="H73" s="45">
        <f>SUM(B73:F73)+L85</f>
        <v>536</v>
      </c>
    </row>
    <row r="74" spans="1:18" x14ac:dyDescent="0.3">
      <c r="A74" s="46" t="s">
        <v>319</v>
      </c>
      <c r="B74" s="45">
        <f>B39</f>
        <v>132</v>
      </c>
      <c r="C74" s="45">
        <f>C39</f>
        <v>138</v>
      </c>
      <c r="D74" s="45">
        <f>D39</f>
        <v>136</v>
      </c>
      <c r="E74" s="94">
        <f>O98</f>
        <v>67.25</v>
      </c>
      <c r="F74" s="94">
        <f>O99</f>
        <v>58.17</v>
      </c>
      <c r="G74" s="45" t="s">
        <v>156</v>
      </c>
      <c r="H74" s="45">
        <f>ROUNDDOWN(B74+C74*1.2+D74+(E74+F74)*0.8,2)</f>
        <v>533.92999999999995</v>
      </c>
      <c r="K74" s="200" t="s">
        <v>142</v>
      </c>
      <c r="L74" s="200"/>
      <c r="O74" s="200" t="s">
        <v>247</v>
      </c>
      <c r="P74" s="200"/>
    </row>
    <row r="75" spans="1:18" x14ac:dyDescent="0.3">
      <c r="A75" s="46" t="s">
        <v>90</v>
      </c>
      <c r="B75" s="45">
        <f t="shared" ref="B75:D76" si="9">B39</f>
        <v>132</v>
      </c>
      <c r="C75" s="45">
        <f t="shared" si="9"/>
        <v>138</v>
      </c>
      <c r="D75" s="45">
        <f t="shared" si="9"/>
        <v>136</v>
      </c>
      <c r="E75" s="94">
        <f>N37</f>
        <v>70.73</v>
      </c>
      <c r="F75" s="94">
        <f>N38</f>
        <v>70.73</v>
      </c>
      <c r="G75" s="45" t="s">
        <v>156</v>
      </c>
      <c r="H75" s="45">
        <f>B75+C75*1.5+D75+(E75+F75)*1.5</f>
        <v>687.19</v>
      </c>
      <c r="K75" s="93" t="s">
        <v>66</v>
      </c>
      <c r="L75" s="45">
        <f>IF(K75=$E$38,E40,IF(K75=$F$38,F40,0))</f>
        <v>0</v>
      </c>
      <c r="M75" s="45">
        <f>LARGE(L75:L82,1)</f>
        <v>105</v>
      </c>
      <c r="O75" s="93" t="s">
        <v>66</v>
      </c>
      <c r="P75" s="45">
        <f>IF(O75=$E$38,$O$37,IF(O75=$F$38,$O$38,0))</f>
        <v>0</v>
      </c>
      <c r="Q75" s="45">
        <f>LARGE(P75:P82,1)</f>
        <v>72.872500000000002</v>
      </c>
    </row>
    <row r="76" spans="1:18" x14ac:dyDescent="0.3">
      <c r="A76" s="46" t="s">
        <v>92</v>
      </c>
      <c r="B76" s="45">
        <f t="shared" si="9"/>
        <v>100</v>
      </c>
      <c r="C76" s="45">
        <f t="shared" si="9"/>
        <v>100</v>
      </c>
      <c r="D76" s="45">
        <f t="shared" si="9"/>
        <v>100</v>
      </c>
      <c r="E76" s="94">
        <f>E40</f>
        <v>100</v>
      </c>
      <c r="F76" s="95">
        <f>F40</f>
        <v>100</v>
      </c>
      <c r="G76" s="45" t="s">
        <v>157</v>
      </c>
      <c r="H76" s="45">
        <f>B76*0.2+C76*1.1*0.3+D76*0.3+(E76+F76)/2*1.1*0.2</f>
        <v>105</v>
      </c>
      <c r="K76" s="93" t="s">
        <v>67</v>
      </c>
      <c r="L76" s="45">
        <f>IF(K76=$E$38,$E$40,IF(K76=$F$38,$F$40,0))</f>
        <v>0</v>
      </c>
      <c r="O76" s="93" t="s">
        <v>67</v>
      </c>
      <c r="P76" s="45">
        <f>IF(O76=$E$38,$O$37,IF(O76=$F$38,$O$38,0))</f>
        <v>0</v>
      </c>
      <c r="Q76" s="45">
        <f>LARGE(P75:P82,2)</f>
        <v>70.75</v>
      </c>
    </row>
    <row r="77" spans="1:18" x14ac:dyDescent="0.3">
      <c r="A77" s="46" t="s">
        <v>95</v>
      </c>
      <c r="B77" s="45">
        <f>B39</f>
        <v>132</v>
      </c>
      <c r="C77" s="45">
        <f>C39</f>
        <v>138</v>
      </c>
      <c r="D77" s="45">
        <f>D39</f>
        <v>136</v>
      </c>
      <c r="E77" s="94">
        <f>E40</f>
        <v>100</v>
      </c>
      <c r="F77" s="95">
        <f>F40</f>
        <v>100</v>
      </c>
      <c r="G77" s="45" t="s">
        <v>156</v>
      </c>
      <c r="H77" s="45">
        <f>B77*0.75+C77*1.75+D77*1.75+(E77+F77)/2*0.75</f>
        <v>653.5</v>
      </c>
      <c r="K77" s="93" t="s">
        <v>129</v>
      </c>
      <c r="L77" s="45">
        <f>IF(K77=$E$38,$E$40,IF(K77=$F$38,$F$40,0))</f>
        <v>100</v>
      </c>
      <c r="O77" s="93" t="s">
        <v>129</v>
      </c>
      <c r="P77" s="45">
        <f>IF(O77=$E$38,$O$37,IF(O77=$F$38,$O$38,0))</f>
        <v>70.75</v>
      </c>
    </row>
    <row r="78" spans="1:18" x14ac:dyDescent="0.3">
      <c r="A78" s="46" t="s">
        <v>97</v>
      </c>
      <c r="B78" s="45">
        <f>B38</f>
        <v>132</v>
      </c>
      <c r="C78" s="45">
        <f>C38</f>
        <v>138</v>
      </c>
      <c r="D78" s="45">
        <f>D38</f>
        <v>136</v>
      </c>
      <c r="E78" s="94">
        <v>100</v>
      </c>
      <c r="F78" s="94">
        <v>100</v>
      </c>
      <c r="G78" s="45" t="s">
        <v>162</v>
      </c>
      <c r="H78" s="45">
        <f>B78*0.75+C78*1.75+D78*1.75+(E78+F78)/2*0.75</f>
        <v>653.5</v>
      </c>
      <c r="K78" s="93" t="s">
        <v>68</v>
      </c>
      <c r="L78" s="45">
        <f>IF(K78=$E$38,$E$40,IF(K78=$F$38,$F$40,0))</f>
        <v>0</v>
      </c>
      <c r="O78" s="93" t="s">
        <v>68</v>
      </c>
      <c r="P78" s="45">
        <f>IF(O78=$E$38,$O$37,IF(O78=$F$38,$O$38,0))</f>
        <v>0</v>
      </c>
    </row>
    <row r="79" spans="1:18" x14ac:dyDescent="0.3">
      <c r="A79" s="46" t="s">
        <v>93</v>
      </c>
      <c r="B79" s="45">
        <f>B40</f>
        <v>100</v>
      </c>
      <c r="C79" s="45">
        <f>C40</f>
        <v>100</v>
      </c>
      <c r="D79" s="45">
        <f>D40</f>
        <v>100</v>
      </c>
      <c r="E79" s="94">
        <f>E40</f>
        <v>100</v>
      </c>
      <c r="F79" s="94">
        <f>F40</f>
        <v>100</v>
      </c>
      <c r="G79" s="45" t="s">
        <v>157</v>
      </c>
      <c r="H79" s="45">
        <f>B79*1.6+C79*2.4+D79*2.4+(E79+F79)/2*1.6</f>
        <v>800</v>
      </c>
      <c r="K79" s="93" t="s">
        <v>69</v>
      </c>
      <c r="L79" s="45">
        <f>IF(K79=$E$38,$E$40*1.05,IF(K79=$F$38,$F$40*1.05,0))</f>
        <v>0</v>
      </c>
      <c r="O79" s="93" t="s">
        <v>69</v>
      </c>
      <c r="P79" s="45">
        <f>IF(O79=$E$38,$O$37*1.03,IF(O79=$F$38,$O$38*1.03,0))</f>
        <v>0</v>
      </c>
    </row>
    <row r="80" spans="1:18" x14ac:dyDescent="0.3">
      <c r="A80" s="46" t="s">
        <v>98</v>
      </c>
      <c r="B80" s="61">
        <f>N43</f>
        <v>1</v>
      </c>
      <c r="C80" s="61">
        <f>N44</f>
        <v>1</v>
      </c>
      <c r="D80" s="61">
        <f>N45</f>
        <v>1</v>
      </c>
      <c r="E80" s="94">
        <f>O50</f>
        <v>0.971830985915493</v>
      </c>
      <c r="F80" s="94">
        <f>O51</f>
        <v>0.80555555555555558</v>
      </c>
      <c r="G80" s="45" t="s">
        <v>159</v>
      </c>
      <c r="H80" s="45">
        <f>IF(M89="지원불가",M89,(B80*0.2+C80*0.3+D80*0.2+(E80+F80)/2*0.3)*700)</f>
        <v>676.62558685446004</v>
      </c>
      <c r="K80" s="93" t="s">
        <v>70</v>
      </c>
      <c r="L80" s="45">
        <f>IF(K80=$E$38,$E$40*1.05,IF(K80=$F$38,$F$40*1.05,0))</f>
        <v>105</v>
      </c>
      <c r="O80" s="93" t="s">
        <v>70</v>
      </c>
      <c r="P80" s="45">
        <f>IF(O80=$E$38,$O$37*1.03,IF(O80=$F$38,$O$38*1.03,0))</f>
        <v>72.872500000000002</v>
      </c>
    </row>
    <row r="81" spans="1:18" x14ac:dyDescent="0.3">
      <c r="A81" s="46" t="s">
        <v>101</v>
      </c>
      <c r="B81" s="45">
        <f>B40</f>
        <v>100</v>
      </c>
      <c r="C81" s="45">
        <f>C40</f>
        <v>100</v>
      </c>
      <c r="D81" s="45">
        <f>D40</f>
        <v>100</v>
      </c>
      <c r="E81" s="94">
        <f>E40</f>
        <v>100</v>
      </c>
      <c r="F81" s="95">
        <f>F40</f>
        <v>100</v>
      </c>
      <c r="G81" s="45" t="s">
        <v>157</v>
      </c>
      <c r="H81" s="45">
        <f>B81*0.1+C81*0.3+D81*0.3+(E81+F81)/2*1.05*0.3</f>
        <v>101.5</v>
      </c>
      <c r="K81" s="93" t="s">
        <v>128</v>
      </c>
      <c r="L81" s="45">
        <f>IF(K81=$E$38,$E$40*1.05,IF(K81=$F$38,$F$40*1.05,0))</f>
        <v>0</v>
      </c>
      <c r="O81" s="93" t="s">
        <v>128</v>
      </c>
      <c r="P81" s="45">
        <f>IF(O81=$E$38,$O$37*1.03,IF(O81=$F$38,$O$38*1.03,0))</f>
        <v>0</v>
      </c>
    </row>
    <row r="82" spans="1:18" x14ac:dyDescent="0.3">
      <c r="A82" s="46" t="s">
        <v>100</v>
      </c>
      <c r="B82" s="45">
        <f>B39</f>
        <v>132</v>
      </c>
      <c r="C82" s="45">
        <f>C39</f>
        <v>138</v>
      </c>
      <c r="D82" s="45">
        <f>D39</f>
        <v>136</v>
      </c>
      <c r="E82" s="94">
        <f>E39</f>
        <v>69</v>
      </c>
      <c r="F82" s="94">
        <f>F39</f>
        <v>58</v>
      </c>
      <c r="G82" s="45" t="s">
        <v>159</v>
      </c>
      <c r="H82" s="45">
        <f>SUM(B82:F82)</f>
        <v>533</v>
      </c>
      <c r="K82" s="93" t="s">
        <v>71</v>
      </c>
      <c r="L82" s="45">
        <f>IF(K82=$E$38,$E$40*1.05,IF(K82=$F$38,$F$40*1.05,0))</f>
        <v>0</v>
      </c>
      <c r="O82" s="93" t="s">
        <v>71</v>
      </c>
      <c r="P82" s="45">
        <f>IF(O82=$E$38,$O$37*1.03,IF(O82=$F$38,$O$38*1.03,0))</f>
        <v>0</v>
      </c>
    </row>
    <row r="83" spans="1:18" x14ac:dyDescent="0.3">
      <c r="A83" s="46" t="s">
        <v>102</v>
      </c>
      <c r="B83" s="61">
        <f>N43</f>
        <v>1</v>
      </c>
      <c r="C83" s="61">
        <f>N44</f>
        <v>1</v>
      </c>
      <c r="D83" s="61">
        <f>N45</f>
        <v>1</v>
      </c>
      <c r="E83" s="94">
        <f>O47</f>
        <v>0.971830985915493</v>
      </c>
      <c r="F83" s="94">
        <f>O48</f>
        <v>0.80555555555555558</v>
      </c>
      <c r="G83" s="45" t="s">
        <v>159</v>
      </c>
      <c r="H83" s="45">
        <f>(B83*0.25+C83*0.275+D83*0.275+(E83+F83)/2*0.2)*200</f>
        <v>195.54773082942097</v>
      </c>
    </row>
    <row r="84" spans="1:18" x14ac:dyDescent="0.3">
      <c r="A84" s="46" t="s">
        <v>103</v>
      </c>
      <c r="B84" s="61">
        <f>N43</f>
        <v>1</v>
      </c>
      <c r="C84" s="61">
        <f>N44</f>
        <v>1</v>
      </c>
      <c r="D84" s="61">
        <f>N45</f>
        <v>1</v>
      </c>
      <c r="E84" s="94">
        <f>P37/변표특수!$X$3</f>
        <v>1</v>
      </c>
      <c r="F84" s="94">
        <f>P38/변표특수!$X$3</f>
        <v>1</v>
      </c>
      <c r="G84" s="45" t="s">
        <v>34</v>
      </c>
      <c r="H84" s="45">
        <f>B84*200+C84*300+D84*200+(E84+F84)/2*300</f>
        <v>1000</v>
      </c>
      <c r="K84" s="201" t="s">
        <v>153</v>
      </c>
      <c r="L84" s="201"/>
    </row>
    <row r="85" spans="1:18" x14ac:dyDescent="0.3">
      <c r="A85" s="46" t="s">
        <v>105</v>
      </c>
      <c r="B85" s="45">
        <f>B40</f>
        <v>100</v>
      </c>
      <c r="C85" s="45">
        <f>C40</f>
        <v>100</v>
      </c>
      <c r="D85" s="45">
        <f>D40</f>
        <v>100</v>
      </c>
      <c r="E85" s="94">
        <f>E40</f>
        <v>100</v>
      </c>
      <c r="F85" s="95">
        <f>F40</f>
        <v>100</v>
      </c>
      <c r="G85" s="45" t="s">
        <v>157</v>
      </c>
      <c r="H85" s="45">
        <f>400+(200*(B85*0.2+C85*0.3+D85*0.3+(E85+F85)/2*0.2))/100</f>
        <v>600</v>
      </c>
      <c r="K85" s="96" t="s">
        <v>154</v>
      </c>
      <c r="L85" s="45">
        <f>IF(E38=K51,3,IF(E38=K52,3,IF(F38=K51,3,IF(F38=K52,3,0))))</f>
        <v>3</v>
      </c>
    </row>
    <row r="86" spans="1:18" x14ac:dyDescent="0.3">
      <c r="A86" s="46" t="s">
        <v>104</v>
      </c>
      <c r="B86" s="61">
        <f>N43</f>
        <v>1</v>
      </c>
      <c r="C86" s="61">
        <f>N44</f>
        <v>1</v>
      </c>
      <c r="D86" s="61">
        <f>N45</f>
        <v>1</v>
      </c>
      <c r="E86" s="94">
        <f>Q37/변표특수!$AB$3</f>
        <v>1</v>
      </c>
      <c r="F86" s="94">
        <f>Q38/변표특수!$AB$3</f>
        <v>1</v>
      </c>
      <c r="G86" s="45" t="s">
        <v>159</v>
      </c>
      <c r="H86" s="45">
        <f>B86*100+C86*400+D86*300+(E86+F86)/2*200</f>
        <v>1000</v>
      </c>
    </row>
    <row r="87" spans="1:18" x14ac:dyDescent="0.3">
      <c r="A87" s="46" t="s">
        <v>106</v>
      </c>
      <c r="B87" s="61">
        <f>N43</f>
        <v>1</v>
      </c>
      <c r="C87" s="61">
        <f>N44</f>
        <v>1</v>
      </c>
      <c r="D87" s="61">
        <f>N45</f>
        <v>1</v>
      </c>
      <c r="E87" s="94">
        <f>Q75</f>
        <v>72.872500000000002</v>
      </c>
      <c r="F87" s="94">
        <f>Q76</f>
        <v>70.75</v>
      </c>
      <c r="G87" s="45" t="s">
        <v>34</v>
      </c>
      <c r="H87" s="45">
        <f>B87*100+C87*400+D87*300+((E87+F87)/(변표특수!$S$3*2))*200</f>
        <v>1003</v>
      </c>
      <c r="K87" s="201" t="s">
        <v>158</v>
      </c>
      <c r="L87" s="201"/>
    </row>
    <row r="88" spans="1:18" x14ac:dyDescent="0.3">
      <c r="K88" s="93" t="s">
        <v>66</v>
      </c>
      <c r="L88" s="45">
        <f>IF(K88=$E$38,1,IF(K88=$F$38,1,0))</f>
        <v>0</v>
      </c>
      <c r="M88" s="45">
        <f>SUM(L88:L95)</f>
        <v>3</v>
      </c>
      <c r="O88" s="93" t="s">
        <v>66</v>
      </c>
      <c r="P88" s="45">
        <f>IF(N46&gt;0,1,0)</f>
        <v>0</v>
      </c>
      <c r="Q88" s="45">
        <f>SUM(P88:P89)</f>
        <v>0</v>
      </c>
      <c r="R88" s="45" t="str">
        <f>IF(Q88&gt;1,"지원불가",IF(Q90&gt;1,"지원불가",IF(Q92&gt;1,"지원불가",IF(Q94&gt;1,"지원불가","지원가능"))))</f>
        <v>지원가능</v>
      </c>
    </row>
    <row r="89" spans="1:18" x14ac:dyDescent="0.3">
      <c r="A89" s="200" t="s">
        <v>275</v>
      </c>
      <c r="B89" s="200"/>
      <c r="C89" s="200"/>
      <c r="D89" s="200"/>
      <c r="E89" s="200"/>
      <c r="F89" s="200"/>
      <c r="G89" s="200"/>
      <c r="H89" s="200"/>
      <c r="K89" s="93" t="s">
        <v>69</v>
      </c>
      <c r="L89" s="45">
        <f>IF(K89=$E$38,1,IF(K89=$F$38,1,0))</f>
        <v>0</v>
      </c>
      <c r="M89" s="118" t="str">
        <f>IF(M88&lt;4,"지원가능","지원불가")</f>
        <v>지원가능</v>
      </c>
      <c r="O89" s="93" t="s">
        <v>69</v>
      </c>
      <c r="P89" s="45">
        <f>IF(N50&gt;0,1,0)</f>
        <v>0</v>
      </c>
    </row>
    <row r="90" spans="1:18" x14ac:dyDescent="0.3">
      <c r="A90" s="45" t="s">
        <v>276</v>
      </c>
      <c r="B90" s="45">
        <f>B39</f>
        <v>132</v>
      </c>
      <c r="C90" s="45">
        <f>C39</f>
        <v>138</v>
      </c>
      <c r="D90" s="45">
        <f>D39</f>
        <v>136</v>
      </c>
      <c r="E90" s="45">
        <f>E39</f>
        <v>69</v>
      </c>
      <c r="F90" s="45">
        <f>F39</f>
        <v>58</v>
      </c>
      <c r="G90" s="45" t="s">
        <v>278</v>
      </c>
      <c r="H90" s="45">
        <f>B90+C90*1.5+D90*1.5+(E90+F90)</f>
        <v>670</v>
      </c>
      <c r="K90" s="93" t="s">
        <v>139</v>
      </c>
      <c r="L90" s="45">
        <f>IF(K90=$E$38,1,IF(K90=$F$38,1,0))</f>
        <v>0</v>
      </c>
      <c r="O90" s="93" t="s">
        <v>67</v>
      </c>
      <c r="P90" s="45">
        <f>IF(N47&gt;0,1,0)</f>
        <v>0</v>
      </c>
      <c r="Q90" s="45">
        <f>SUM(P90:P91)</f>
        <v>1</v>
      </c>
    </row>
    <row r="91" spans="1:18" x14ac:dyDescent="0.3">
      <c r="A91" s="45" t="s">
        <v>285</v>
      </c>
      <c r="B91" s="61">
        <f>N43</f>
        <v>1</v>
      </c>
      <c r="C91" s="61">
        <f>N44</f>
        <v>1</v>
      </c>
      <c r="D91" s="61">
        <f>N45</f>
        <v>1</v>
      </c>
      <c r="E91" s="61">
        <f>O47</f>
        <v>0.971830985915493</v>
      </c>
      <c r="F91" s="61">
        <f>O48</f>
        <v>0.80555555555555558</v>
      </c>
      <c r="G91" s="45" t="s">
        <v>280</v>
      </c>
      <c r="H91" s="45">
        <f>IF(R88="지원가능",(B91*0.25+C91*0.275+D91*0.275+(E91+F91)/2*0.2)*1000,R88)</f>
        <v>977.73865414710497</v>
      </c>
      <c r="K91" s="93" t="s">
        <v>140</v>
      </c>
      <c r="L91" s="45">
        <f>IF(K91=$E$38,1,IF(K91=$F$38,1,0))</f>
        <v>1</v>
      </c>
      <c r="O91" s="93" t="s">
        <v>70</v>
      </c>
      <c r="P91" s="45">
        <f>IF(N51&gt;0,1,0)</f>
        <v>1</v>
      </c>
    </row>
    <row r="92" spans="1:18" x14ac:dyDescent="0.3">
      <c r="A92" s="45" t="s">
        <v>286</v>
      </c>
      <c r="B92" s="61">
        <f>N43</f>
        <v>1</v>
      </c>
      <c r="C92" s="61">
        <f>N44</f>
        <v>1</v>
      </c>
      <c r="D92" s="61">
        <f>N45</f>
        <v>1</v>
      </c>
      <c r="E92" s="61">
        <f>O47</f>
        <v>0.971830985915493</v>
      </c>
      <c r="F92" s="61">
        <f>O48</f>
        <v>0.80555555555555558</v>
      </c>
      <c r="G92" s="45" t="s">
        <v>280</v>
      </c>
      <c r="H92" s="45">
        <f>IF(R88="지원가능",(B91*0.25+C91*0.275+D91*0.275+(E91+F91)/2*0.2)*500,R88)</f>
        <v>488.86932707355248</v>
      </c>
      <c r="K92" s="93" t="s">
        <v>129</v>
      </c>
      <c r="L92" s="45">
        <f>IF(K92=$E$38,2,IF(K92=$F$38,2,0))</f>
        <v>2</v>
      </c>
      <c r="O92" s="93" t="s">
        <v>129</v>
      </c>
      <c r="P92" s="45">
        <f>IF(N48&gt;0,1,0)</f>
        <v>1</v>
      </c>
      <c r="Q92" s="45">
        <f>SUM(P92:P93)</f>
        <v>1</v>
      </c>
    </row>
    <row r="93" spans="1:18" x14ac:dyDescent="0.3">
      <c r="A93" s="45" t="s">
        <v>277</v>
      </c>
      <c r="B93" s="45">
        <f>B40</f>
        <v>100</v>
      </c>
      <c r="C93" s="45">
        <f>C40</f>
        <v>100</v>
      </c>
      <c r="D93" s="45">
        <f>D40</f>
        <v>100</v>
      </c>
      <c r="E93" s="45">
        <f>E40</f>
        <v>100</v>
      </c>
      <c r="F93" s="45">
        <f>F40</f>
        <v>100</v>
      </c>
      <c r="G93" s="45" t="s">
        <v>291</v>
      </c>
      <c r="H93" s="45">
        <f>(C93+(E93+F93)/2)*1.4+B93*1.2+D93</f>
        <v>500</v>
      </c>
      <c r="K93" s="93" t="s">
        <v>128</v>
      </c>
      <c r="L93" s="45">
        <f>IF(K93=$E$38,2,IF(K93=$F$38,2,0))</f>
        <v>0</v>
      </c>
      <c r="O93" s="93" t="s">
        <v>128</v>
      </c>
      <c r="P93" s="45">
        <f>IF(N52&gt;0,1,0)</f>
        <v>0</v>
      </c>
    </row>
    <row r="94" spans="1:18" x14ac:dyDescent="0.3">
      <c r="K94" s="93" t="s">
        <v>68</v>
      </c>
      <c r="L94" s="45">
        <f>IF(K94=$E$38,2,IF(K94=$F$38,2,0))</f>
        <v>0</v>
      </c>
      <c r="O94" s="93" t="s">
        <v>68</v>
      </c>
      <c r="P94" s="45">
        <f>IF(N49&gt;0,1,0)</f>
        <v>0</v>
      </c>
      <c r="Q94" s="45">
        <f>SUM(P94:P95)</f>
        <v>0</v>
      </c>
    </row>
    <row r="95" spans="1:18" x14ac:dyDescent="0.3">
      <c r="K95" s="93" t="s">
        <v>71</v>
      </c>
      <c r="L95" s="45">
        <f>IF(K95=$E$38,2,IF(K95=$F$38,2,0))</f>
        <v>0</v>
      </c>
      <c r="O95" s="93" t="s">
        <v>71</v>
      </c>
      <c r="P95" s="45">
        <f>IF(M53&gt;0,1,0)</f>
        <v>0</v>
      </c>
    </row>
    <row r="96" spans="1:18" ht="15" thickBot="1" x14ac:dyDescent="0.35"/>
    <row r="97" spans="11:15" ht="15" thickBot="1" x14ac:dyDescent="0.35">
      <c r="K97" s="197" t="s">
        <v>267</v>
      </c>
      <c r="L97" s="198"/>
      <c r="M97" s="198"/>
      <c r="N97" s="198"/>
      <c r="O97" s="199"/>
    </row>
    <row r="98" spans="11:15" ht="15" thickBot="1" x14ac:dyDescent="0.35">
      <c r="K98" s="97" t="s">
        <v>66</v>
      </c>
      <c r="L98" s="63">
        <v>69</v>
      </c>
      <c r="M98" s="50">
        <f>IF(K98=$E$38,$E$39,IF(K98=$F$38,$F$39,0))</f>
        <v>0</v>
      </c>
      <c r="N98" s="51">
        <f>IF(M98=0,0,VLOOKUP(M98,서울대이과변표!A2:B42,2,FALSE))</f>
        <v>0</v>
      </c>
      <c r="O98" s="98">
        <f>LARGE(N98:N105,1)</f>
        <v>67.25</v>
      </c>
    </row>
    <row r="99" spans="11:15" ht="15" thickBot="1" x14ac:dyDescent="0.35">
      <c r="K99" s="91" t="s">
        <v>67</v>
      </c>
      <c r="L99" s="68">
        <v>71</v>
      </c>
      <c r="M99" s="55">
        <f>IF(K99=$E$38,$E$39,IF(K99=$F$38,$F$39,0))</f>
        <v>0</v>
      </c>
      <c r="N99" s="56">
        <f>IF(M99=0,0,VLOOKUP(M99,서울대이과변표!C2:D46,2,FALSE))</f>
        <v>0</v>
      </c>
      <c r="O99" s="98">
        <f>LARGE(N98:N105,2)</f>
        <v>58.17</v>
      </c>
    </row>
    <row r="100" spans="11:15" x14ac:dyDescent="0.3">
      <c r="K100" s="91" t="s">
        <v>129</v>
      </c>
      <c r="L100" s="68">
        <v>71</v>
      </c>
      <c r="M100" s="55">
        <f t="shared" ref="M100:M105" si="10">IF(K100=$E$38,$E$39,IF(K100=$F$38,$F$39,0))</f>
        <v>69</v>
      </c>
      <c r="N100" s="56">
        <f>IF(M100=0,0,VLOOKUP(M100,서울대이과변표!E1:F44,2,FALSE))</f>
        <v>67.25</v>
      </c>
    </row>
    <row r="101" spans="11:15" x14ac:dyDescent="0.3">
      <c r="K101" s="91" t="s">
        <v>68</v>
      </c>
      <c r="L101" s="68">
        <v>73</v>
      </c>
      <c r="M101" s="55">
        <f t="shared" si="10"/>
        <v>0</v>
      </c>
      <c r="N101" s="56">
        <f>IF(M101=0,0,VLOOKUP(M101,서울대이과변표!G1:H46,2,FALSE))</f>
        <v>0</v>
      </c>
    </row>
    <row r="102" spans="11:15" x14ac:dyDescent="0.3">
      <c r="K102" s="91" t="s">
        <v>69</v>
      </c>
      <c r="L102" s="68">
        <v>66</v>
      </c>
      <c r="M102" s="55">
        <f t="shared" si="10"/>
        <v>0</v>
      </c>
      <c r="N102" s="56">
        <f>IF(M102=0,0,VLOOKUP(M102,서울대이과변표!I1:J39,2,FALSE))</f>
        <v>0</v>
      </c>
    </row>
    <row r="103" spans="11:15" x14ac:dyDescent="0.3">
      <c r="K103" s="91" t="s">
        <v>70</v>
      </c>
      <c r="L103" s="68">
        <v>72</v>
      </c>
      <c r="M103" s="55">
        <f t="shared" si="10"/>
        <v>58</v>
      </c>
      <c r="N103" s="56">
        <f>IF(M103=0,0,VLOOKUP(M103,서울대이과변표!K1:L45,2,FALSE))</f>
        <v>58.17</v>
      </c>
    </row>
    <row r="104" spans="11:15" x14ac:dyDescent="0.3">
      <c r="K104" s="91" t="s">
        <v>128</v>
      </c>
      <c r="L104" s="68">
        <v>67</v>
      </c>
      <c r="M104" s="55">
        <f t="shared" si="10"/>
        <v>0</v>
      </c>
      <c r="N104" s="56">
        <f>IF(M104=0,0,VLOOKUP(M104,서울대이과변표!M2:N38,2,FALSE))</f>
        <v>0</v>
      </c>
    </row>
    <row r="105" spans="11:15" ht="15" thickBot="1" x14ac:dyDescent="0.35">
      <c r="K105" s="92" t="s">
        <v>71</v>
      </c>
      <c r="L105" s="76">
        <v>68</v>
      </c>
      <c r="M105" s="59">
        <f t="shared" si="10"/>
        <v>0</v>
      </c>
      <c r="N105" s="60">
        <f>IF(M105=0,0,VLOOKUP(M105,서울대이과변표!O2:P39,2,FALSE))</f>
        <v>0</v>
      </c>
    </row>
  </sheetData>
  <sheetProtection password="B7A3" sheet="1" objects="1" scenarios="1" selectLockedCells="1" selectUnlockedCells="1"/>
  <mergeCells count="10">
    <mergeCell ref="K97:O97"/>
    <mergeCell ref="O74:P74"/>
    <mergeCell ref="K87:L87"/>
    <mergeCell ref="A44:H44"/>
    <mergeCell ref="A60:H60"/>
    <mergeCell ref="K64:L64"/>
    <mergeCell ref="A65:H65"/>
    <mergeCell ref="K84:L84"/>
    <mergeCell ref="K74:L74"/>
    <mergeCell ref="A89:H89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03"/>
  <sheetViews>
    <sheetView workbookViewId="0">
      <selection activeCell="F18" sqref="F18"/>
    </sheetView>
  </sheetViews>
  <sheetFormatPr defaultRowHeight="16.5" x14ac:dyDescent="0.3"/>
  <cols>
    <col min="1" max="1" width="9" style="3"/>
    <col min="2" max="2" width="7.5" style="3" customWidth="1"/>
    <col min="3" max="16384" width="9" style="3"/>
  </cols>
  <sheetData>
    <row r="2" spans="2:5" x14ac:dyDescent="0.3">
      <c r="B2" s="1"/>
      <c r="C2" s="2" t="s">
        <v>9</v>
      </c>
      <c r="D2" s="2" t="s">
        <v>8</v>
      </c>
      <c r="E2" s="2" t="s">
        <v>12</v>
      </c>
    </row>
    <row r="3" spans="2:5" x14ac:dyDescent="0.3">
      <c r="B3" s="1">
        <v>100</v>
      </c>
      <c r="C3" s="2">
        <v>66.400000000000006</v>
      </c>
      <c r="D3" s="2">
        <v>69.63</v>
      </c>
      <c r="E3" s="2">
        <v>73.333333333333329</v>
      </c>
    </row>
    <row r="4" spans="2:5" x14ac:dyDescent="0.3">
      <c r="B4" s="1">
        <v>99</v>
      </c>
      <c r="C4" s="2">
        <v>66.2</v>
      </c>
      <c r="D4" s="2">
        <v>68.5</v>
      </c>
      <c r="E4" s="2">
        <v>72.722222222222229</v>
      </c>
    </row>
    <row r="5" spans="2:5" x14ac:dyDescent="0.3">
      <c r="B5" s="1">
        <v>98</v>
      </c>
      <c r="C5" s="2">
        <v>65.849999999999994</v>
      </c>
      <c r="D5" s="2">
        <v>67.25</v>
      </c>
      <c r="E5" s="2">
        <v>71.888888888888886</v>
      </c>
    </row>
    <row r="6" spans="2:5" x14ac:dyDescent="0.3">
      <c r="B6" s="1">
        <v>97</v>
      </c>
      <c r="C6" s="2">
        <v>65.48333333333332</v>
      </c>
      <c r="D6" s="2">
        <v>66.46875</v>
      </c>
      <c r="E6" s="2">
        <v>71.055555555555557</v>
      </c>
    </row>
    <row r="7" spans="2:5" x14ac:dyDescent="0.3">
      <c r="B7" s="1">
        <v>96</v>
      </c>
      <c r="C7" s="2">
        <v>65.099999999999994</v>
      </c>
      <c r="D7" s="2">
        <v>65.833333333333343</v>
      </c>
      <c r="E7" s="2">
        <v>69.972222222222229</v>
      </c>
    </row>
    <row r="8" spans="2:5" x14ac:dyDescent="0.3">
      <c r="B8" s="1">
        <v>95</v>
      </c>
      <c r="C8" s="2">
        <v>64.700000000000017</v>
      </c>
      <c r="D8" s="2">
        <v>65.322916666666671</v>
      </c>
      <c r="E8" s="2">
        <v>69.203703703703695</v>
      </c>
    </row>
    <row r="9" spans="2:5" x14ac:dyDescent="0.3">
      <c r="B9" s="1">
        <v>94</v>
      </c>
      <c r="C9" s="2">
        <v>64.333333333333343</v>
      </c>
      <c r="D9" s="2">
        <v>64.8125</v>
      </c>
      <c r="E9" s="2">
        <v>68.138888888888886</v>
      </c>
    </row>
    <row r="10" spans="2:5" x14ac:dyDescent="0.3">
      <c r="B10" s="1">
        <v>93</v>
      </c>
      <c r="C10" s="2">
        <v>64.025000000000006</v>
      </c>
      <c r="D10" s="2">
        <v>64.364583333333343</v>
      </c>
      <c r="E10" s="2">
        <v>67.092592592592595</v>
      </c>
    </row>
    <row r="11" spans="2:5" x14ac:dyDescent="0.3">
      <c r="B11" s="1">
        <v>92</v>
      </c>
      <c r="C11" s="2">
        <v>63.70000000000001</v>
      </c>
      <c r="D11" s="2">
        <v>63.916666666666664</v>
      </c>
      <c r="E11" s="2">
        <v>65.93518518518519</v>
      </c>
    </row>
    <row r="12" spans="2:5" x14ac:dyDescent="0.3">
      <c r="B12" s="1">
        <v>91</v>
      </c>
      <c r="C12" s="2">
        <v>63.388333333333335</v>
      </c>
      <c r="D12" s="2">
        <v>63.53125</v>
      </c>
      <c r="E12" s="2">
        <v>64.585185185185182</v>
      </c>
    </row>
    <row r="13" spans="2:5" x14ac:dyDescent="0.3">
      <c r="B13" s="1">
        <v>90</v>
      </c>
      <c r="C13" s="2">
        <v>63.026666666666664</v>
      </c>
      <c r="D13" s="2">
        <v>63.135416666666664</v>
      </c>
      <c r="E13" s="2">
        <v>63.161111111111119</v>
      </c>
    </row>
    <row r="14" spans="2:5" x14ac:dyDescent="0.3">
      <c r="B14" s="1">
        <v>89</v>
      </c>
      <c r="C14" s="2">
        <v>62.74166666666666</v>
      </c>
      <c r="D14" s="2">
        <v>62.78125</v>
      </c>
      <c r="E14" s="2">
        <v>62.524074074074079</v>
      </c>
    </row>
    <row r="15" spans="2:5" x14ac:dyDescent="0.3">
      <c r="B15" s="1">
        <v>88</v>
      </c>
      <c r="C15" s="2">
        <v>62.473333333333336</v>
      </c>
      <c r="D15" s="2">
        <v>62.479166666666664</v>
      </c>
      <c r="E15" s="2">
        <v>62.01203703703704</v>
      </c>
    </row>
    <row r="16" spans="2:5" x14ac:dyDescent="0.3">
      <c r="B16" s="1">
        <v>87</v>
      </c>
      <c r="C16" s="2">
        <v>62.188333333333333</v>
      </c>
      <c r="D16" s="2">
        <v>62.177083333333329</v>
      </c>
      <c r="E16" s="2">
        <v>61.444444444444443</v>
      </c>
    </row>
    <row r="17" spans="2:5" x14ac:dyDescent="0.3">
      <c r="B17" s="1">
        <v>86</v>
      </c>
      <c r="C17" s="2">
        <v>61.898333333333333</v>
      </c>
      <c r="D17" s="2">
        <v>61.822916666666664</v>
      </c>
      <c r="E17" s="2">
        <v>60.982407407407408</v>
      </c>
    </row>
    <row r="18" spans="2:5" x14ac:dyDescent="0.3">
      <c r="B18" s="1">
        <v>85</v>
      </c>
      <c r="C18" s="2">
        <v>61.646666666666668</v>
      </c>
      <c r="D18" s="2">
        <v>61.474999999999994</v>
      </c>
      <c r="E18" s="2">
        <v>60.470370370370375</v>
      </c>
    </row>
    <row r="19" spans="2:5" x14ac:dyDescent="0.3">
      <c r="B19" s="1">
        <v>84</v>
      </c>
      <c r="C19" s="2">
        <v>61.385000000000005</v>
      </c>
      <c r="D19" s="2">
        <v>61.147916666666674</v>
      </c>
      <c r="E19" s="2">
        <v>59.754629629629626</v>
      </c>
    </row>
    <row r="20" spans="2:5" x14ac:dyDescent="0.3">
      <c r="B20" s="1">
        <v>83</v>
      </c>
      <c r="C20" s="2">
        <v>61.106666666666662</v>
      </c>
      <c r="D20" s="2">
        <v>60.79999999999999</v>
      </c>
      <c r="E20" s="2">
        <v>59.057407407407403</v>
      </c>
    </row>
    <row r="21" spans="2:5" x14ac:dyDescent="0.3">
      <c r="B21" s="1">
        <v>82</v>
      </c>
      <c r="C21" s="2">
        <v>60.795000000000002</v>
      </c>
      <c r="D21" s="2">
        <v>60.489583333333329</v>
      </c>
      <c r="E21" s="2">
        <v>58.276851851851838</v>
      </c>
    </row>
    <row r="22" spans="2:5" x14ac:dyDescent="0.3">
      <c r="B22" s="1">
        <v>81</v>
      </c>
      <c r="C22" s="2">
        <v>60.466666666666661</v>
      </c>
      <c r="D22" s="2">
        <v>60.210416666666667</v>
      </c>
      <c r="E22" s="2">
        <v>57.87962962962964</v>
      </c>
    </row>
    <row r="23" spans="2:5" x14ac:dyDescent="0.3">
      <c r="B23" s="1">
        <v>80</v>
      </c>
      <c r="C23" s="2">
        <v>60.158333333333324</v>
      </c>
      <c r="D23" s="2">
        <v>59.914583333333326</v>
      </c>
      <c r="E23" s="2">
        <v>57.577645502645495</v>
      </c>
    </row>
    <row r="24" spans="2:5" x14ac:dyDescent="0.3">
      <c r="B24" s="1">
        <v>79</v>
      </c>
      <c r="C24" s="2">
        <v>59.905000000000008</v>
      </c>
      <c r="D24" s="2">
        <v>59.618749999999999</v>
      </c>
      <c r="E24" s="2">
        <v>57.275661375661379</v>
      </c>
    </row>
    <row r="25" spans="2:5" x14ac:dyDescent="0.3">
      <c r="B25" s="1">
        <v>78</v>
      </c>
      <c r="C25" s="2">
        <v>59.648333333333333</v>
      </c>
      <c r="D25" s="2">
        <v>59.322916666666664</v>
      </c>
      <c r="E25" s="2">
        <v>56.92738095238095</v>
      </c>
    </row>
    <row r="26" spans="2:5" x14ac:dyDescent="0.3">
      <c r="B26" s="1">
        <v>77</v>
      </c>
      <c r="C26" s="2">
        <v>59.341666666666661</v>
      </c>
      <c r="D26" s="2">
        <v>59.010416666666664</v>
      </c>
      <c r="E26" s="2">
        <v>56.658730158730158</v>
      </c>
    </row>
    <row r="27" spans="2:5" x14ac:dyDescent="0.3">
      <c r="B27" s="1">
        <v>76</v>
      </c>
      <c r="C27" s="2">
        <v>59.031666666666673</v>
      </c>
      <c r="D27" s="2">
        <v>58.697916666666664</v>
      </c>
      <c r="E27" s="2">
        <v>56.417857142857144</v>
      </c>
    </row>
    <row r="28" spans="2:5" x14ac:dyDescent="0.3">
      <c r="B28" s="1">
        <v>75</v>
      </c>
      <c r="C28" s="2">
        <v>58.754999999999995</v>
      </c>
      <c r="D28" s="2">
        <v>58.422916666666666</v>
      </c>
      <c r="E28" s="2">
        <v>56.127777777777766</v>
      </c>
    </row>
    <row r="29" spans="2:5" x14ac:dyDescent="0.3">
      <c r="B29" s="1">
        <v>74</v>
      </c>
      <c r="C29" s="2">
        <v>58.481666666666662</v>
      </c>
      <c r="D29" s="2">
        <v>58.175000000000004</v>
      </c>
      <c r="E29" s="2">
        <v>55.889550264550266</v>
      </c>
    </row>
    <row r="30" spans="2:5" x14ac:dyDescent="0.3">
      <c r="B30" s="1">
        <v>73</v>
      </c>
      <c r="C30" s="2">
        <v>58.195000000000007</v>
      </c>
      <c r="D30" s="2">
        <v>57.895833333333336</v>
      </c>
      <c r="E30" s="2">
        <v>55.630158730158733</v>
      </c>
    </row>
    <row r="31" spans="2:5" x14ac:dyDescent="0.3">
      <c r="B31" s="1">
        <v>72</v>
      </c>
      <c r="C31" s="2">
        <v>57.929999999999993</v>
      </c>
      <c r="D31" s="2">
        <v>57.606249999999996</v>
      </c>
      <c r="E31" s="2">
        <v>55.372486772486766</v>
      </c>
    </row>
    <row r="32" spans="2:5" x14ac:dyDescent="0.3">
      <c r="B32" s="1">
        <v>71</v>
      </c>
      <c r="C32" s="2">
        <v>57.668333333333337</v>
      </c>
      <c r="D32" s="2">
        <v>57.274999999999999</v>
      </c>
      <c r="E32" s="2">
        <v>55.124074074074066</v>
      </c>
    </row>
    <row r="33" spans="2:5" x14ac:dyDescent="0.3">
      <c r="B33" s="1">
        <v>70</v>
      </c>
      <c r="C33" s="2">
        <v>57.381666666666661</v>
      </c>
      <c r="D33" s="2">
        <v>56.90625</v>
      </c>
      <c r="E33" s="2">
        <v>54.820105820105816</v>
      </c>
    </row>
    <row r="34" spans="2:5" x14ac:dyDescent="0.3">
      <c r="B34" s="1">
        <v>69</v>
      </c>
      <c r="C34" s="2">
        <v>57.07833333333334</v>
      </c>
      <c r="D34" s="2">
        <v>56.568749999999994</v>
      </c>
      <c r="E34" s="2">
        <v>54.578042328042322</v>
      </c>
    </row>
    <row r="35" spans="2:5" x14ac:dyDescent="0.3">
      <c r="B35" s="1">
        <v>68</v>
      </c>
      <c r="C35" s="2">
        <v>56.733333333333327</v>
      </c>
      <c r="D35" s="2">
        <v>56.268749999999997</v>
      </c>
      <c r="E35" s="2">
        <v>54.310185185185183</v>
      </c>
    </row>
    <row r="36" spans="2:5" x14ac:dyDescent="0.3">
      <c r="B36" s="1">
        <v>67</v>
      </c>
      <c r="C36" s="2">
        <v>56.366666666666674</v>
      </c>
      <c r="D36" s="2">
        <v>55.989583333333329</v>
      </c>
      <c r="E36" s="2">
        <v>54.066402116402116</v>
      </c>
    </row>
    <row r="37" spans="2:5" x14ac:dyDescent="0.3">
      <c r="B37" s="1">
        <v>66</v>
      </c>
      <c r="C37" s="2">
        <v>56.038333333333334</v>
      </c>
      <c r="D37" s="2">
        <v>55.71041666666666</v>
      </c>
      <c r="E37" s="2">
        <v>53.813359788359783</v>
      </c>
    </row>
    <row r="38" spans="2:5" x14ac:dyDescent="0.3">
      <c r="B38" s="1">
        <v>65</v>
      </c>
      <c r="C38" s="2">
        <v>55.71</v>
      </c>
      <c r="D38" s="2">
        <v>55.441666666666663</v>
      </c>
      <c r="E38" s="2">
        <v>53.560317460317457</v>
      </c>
    </row>
    <row r="39" spans="2:5" x14ac:dyDescent="0.3">
      <c r="B39" s="1">
        <v>64</v>
      </c>
      <c r="C39" s="2">
        <v>55.403333333333329</v>
      </c>
      <c r="D39" s="2">
        <v>55.145833333333336</v>
      </c>
      <c r="E39" s="2">
        <v>53.31653439153439</v>
      </c>
    </row>
    <row r="40" spans="2:5" x14ac:dyDescent="0.3">
      <c r="B40" s="1">
        <v>63</v>
      </c>
      <c r="C40" s="2">
        <v>55.088333333333331</v>
      </c>
      <c r="D40" s="2">
        <v>54.85</v>
      </c>
      <c r="E40" s="2">
        <v>53.054232804232804</v>
      </c>
    </row>
    <row r="41" spans="2:5" x14ac:dyDescent="0.3">
      <c r="B41" s="1">
        <v>62</v>
      </c>
      <c r="C41" s="2">
        <v>54.79</v>
      </c>
      <c r="D41" s="2">
        <v>54.585416666666667</v>
      </c>
      <c r="E41" s="2">
        <v>52.774470899470906</v>
      </c>
    </row>
    <row r="42" spans="2:5" x14ac:dyDescent="0.3">
      <c r="B42" s="1">
        <v>61</v>
      </c>
      <c r="C42" s="2">
        <v>54.51166666666667</v>
      </c>
      <c r="D42" s="2">
        <v>54.258333333333333</v>
      </c>
      <c r="E42" s="2">
        <v>52.476190476190474</v>
      </c>
    </row>
    <row r="43" spans="2:5" x14ac:dyDescent="0.3">
      <c r="B43" s="1">
        <v>60</v>
      </c>
      <c r="C43" s="2">
        <v>54.208333333333329</v>
      </c>
      <c r="D43" s="2">
        <v>53.920833333333334</v>
      </c>
      <c r="E43" s="2">
        <v>52.175925925925924</v>
      </c>
    </row>
    <row r="44" spans="2:5" x14ac:dyDescent="0.3">
      <c r="B44" s="1">
        <v>59</v>
      </c>
      <c r="C44" s="2">
        <v>53.86333333333333</v>
      </c>
      <c r="D44" s="2">
        <v>53.541666666666664</v>
      </c>
      <c r="E44" s="2">
        <v>51.894179894179899</v>
      </c>
    </row>
    <row r="45" spans="2:5" x14ac:dyDescent="0.3">
      <c r="B45" s="1">
        <v>58</v>
      </c>
      <c r="C45" s="2">
        <v>53.535000000000004</v>
      </c>
      <c r="D45" s="2">
        <v>53.208333333333336</v>
      </c>
      <c r="E45" s="2">
        <v>51.614417989417987</v>
      </c>
    </row>
    <row r="46" spans="2:5" x14ac:dyDescent="0.3">
      <c r="B46" s="1">
        <v>57</v>
      </c>
      <c r="C46" s="2">
        <v>53.198333333333338</v>
      </c>
      <c r="D46" s="2">
        <v>52.875</v>
      </c>
      <c r="E46" s="2">
        <v>51.316137566137563</v>
      </c>
    </row>
    <row r="47" spans="2:5" x14ac:dyDescent="0.3">
      <c r="B47" s="1">
        <v>56</v>
      </c>
      <c r="C47" s="2">
        <v>52.844999999999992</v>
      </c>
      <c r="D47" s="2">
        <v>52.541666666666664</v>
      </c>
      <c r="E47" s="2">
        <v>50.994708994708994</v>
      </c>
    </row>
    <row r="48" spans="2:5" x14ac:dyDescent="0.3">
      <c r="B48" s="1">
        <v>55</v>
      </c>
      <c r="C48" s="2">
        <v>52.50833333333334</v>
      </c>
      <c r="D48" s="2">
        <v>52.208333333333336</v>
      </c>
      <c r="E48" s="2">
        <v>50.673280423280417</v>
      </c>
    </row>
    <row r="49" spans="2:5" x14ac:dyDescent="0.3">
      <c r="B49" s="1">
        <v>54</v>
      </c>
      <c r="C49" s="2">
        <v>52.11666666666666</v>
      </c>
      <c r="D49" s="2">
        <v>51.84375</v>
      </c>
      <c r="E49" s="2">
        <v>50.379629629629633</v>
      </c>
    </row>
    <row r="50" spans="2:5" x14ac:dyDescent="0.3">
      <c r="B50" s="1">
        <v>53</v>
      </c>
      <c r="C50" s="2">
        <v>51.733333333333327</v>
      </c>
      <c r="D50" s="2">
        <v>51.458333333333329</v>
      </c>
      <c r="E50" s="2">
        <v>50.104320987654326</v>
      </c>
    </row>
    <row r="51" spans="2:5" x14ac:dyDescent="0.3">
      <c r="B51" s="1">
        <v>52</v>
      </c>
      <c r="C51" s="2">
        <v>51.35</v>
      </c>
      <c r="D51" s="2">
        <v>51.083333333333329</v>
      </c>
      <c r="E51" s="2">
        <v>49.829012345679011</v>
      </c>
    </row>
    <row r="52" spans="2:5" x14ac:dyDescent="0.3">
      <c r="B52" s="1">
        <v>51</v>
      </c>
      <c r="C52" s="2">
        <v>50.93333333333333</v>
      </c>
      <c r="D52" s="2">
        <v>50.729166666666664</v>
      </c>
      <c r="E52" s="2">
        <v>49.553703703703697</v>
      </c>
    </row>
    <row r="53" spans="2:5" x14ac:dyDescent="0.3">
      <c r="B53" s="1">
        <v>50</v>
      </c>
      <c r="C53" s="2">
        <v>50.541666666666671</v>
      </c>
      <c r="D53" s="2">
        <v>50.343749999999993</v>
      </c>
      <c r="E53" s="2">
        <v>49.197839506172841</v>
      </c>
    </row>
    <row r="54" spans="2:5" x14ac:dyDescent="0.3">
      <c r="B54" s="1">
        <v>49</v>
      </c>
      <c r="C54" s="2">
        <v>50.166666666666664</v>
      </c>
      <c r="D54" s="2">
        <v>49.958333333333329</v>
      </c>
      <c r="E54" s="2">
        <v>48.916049382716047</v>
      </c>
    </row>
    <row r="55" spans="2:5" x14ac:dyDescent="0.3">
      <c r="B55" s="1">
        <v>48</v>
      </c>
      <c r="C55" s="2">
        <v>49.816666666666663</v>
      </c>
      <c r="D55" s="2">
        <v>49.59375</v>
      </c>
      <c r="E55" s="2">
        <v>48.62037037037036</v>
      </c>
    </row>
    <row r="56" spans="2:5" x14ac:dyDescent="0.3">
      <c r="B56" s="1">
        <v>47</v>
      </c>
      <c r="C56" s="2">
        <v>49.416666666666664</v>
      </c>
      <c r="D56" s="2">
        <v>49.229166666666664</v>
      </c>
      <c r="E56" s="2">
        <v>48.250617283950618</v>
      </c>
    </row>
    <row r="57" spans="2:5" x14ac:dyDescent="0.3">
      <c r="B57" s="1">
        <v>46</v>
      </c>
      <c r="C57" s="2">
        <v>48.991666666666667</v>
      </c>
      <c r="D57" s="2">
        <v>48.822916666666664</v>
      </c>
      <c r="E57" s="2">
        <v>47.945679012345671</v>
      </c>
    </row>
    <row r="58" spans="2:5" x14ac:dyDescent="0.3">
      <c r="B58" s="1">
        <v>45</v>
      </c>
      <c r="C58" s="2">
        <v>48.624999999999993</v>
      </c>
      <c r="D58" s="2">
        <v>48.4375</v>
      </c>
      <c r="E58" s="2">
        <v>47.529629629629625</v>
      </c>
    </row>
    <row r="59" spans="2:5" x14ac:dyDescent="0.3">
      <c r="B59" s="1">
        <v>44</v>
      </c>
      <c r="C59" s="2">
        <v>48.274999999999999</v>
      </c>
      <c r="D59" s="2">
        <v>48.041666666666664</v>
      </c>
      <c r="E59" s="2">
        <v>47.169135802469128</v>
      </c>
    </row>
    <row r="60" spans="2:5" x14ac:dyDescent="0.3">
      <c r="B60" s="1">
        <v>43</v>
      </c>
      <c r="C60" s="2">
        <v>47.874999999999993</v>
      </c>
      <c r="D60" s="2">
        <v>47.677083333333336</v>
      </c>
      <c r="E60" s="2">
        <v>46.858641975308643</v>
      </c>
    </row>
    <row r="61" spans="2:5" x14ac:dyDescent="0.3">
      <c r="B61" s="1">
        <v>42</v>
      </c>
      <c r="C61" s="2">
        <v>47.475000000000001</v>
      </c>
      <c r="D61" s="2">
        <v>47.291666666666664</v>
      </c>
      <c r="E61" s="2">
        <v>46.57592592592593</v>
      </c>
    </row>
    <row r="62" spans="2:5" x14ac:dyDescent="0.3">
      <c r="B62" s="1">
        <v>41</v>
      </c>
      <c r="C62" s="2">
        <v>47.125000000000007</v>
      </c>
      <c r="D62" s="2">
        <v>46.90625</v>
      </c>
      <c r="E62" s="2">
        <v>46.237654320987644</v>
      </c>
    </row>
    <row r="63" spans="2:5" x14ac:dyDescent="0.3">
      <c r="B63" s="1">
        <v>40</v>
      </c>
      <c r="C63" s="2">
        <v>46.783333333333317</v>
      </c>
      <c r="D63" s="2">
        <v>46.541666666666664</v>
      </c>
      <c r="E63" s="2">
        <v>45.885802469135797</v>
      </c>
    </row>
    <row r="64" spans="2:5" x14ac:dyDescent="0.3">
      <c r="B64" s="1">
        <v>39</v>
      </c>
      <c r="C64" s="2">
        <v>46.458333333333329</v>
      </c>
      <c r="D64" s="2">
        <v>46.197916666666664</v>
      </c>
      <c r="E64" s="2">
        <v>45.552469135802468</v>
      </c>
    </row>
    <row r="65" spans="2:5" x14ac:dyDescent="0.3">
      <c r="B65" s="1">
        <v>38</v>
      </c>
      <c r="C65" s="2">
        <v>46.083333333333336</v>
      </c>
      <c r="D65" s="2">
        <v>45.833333333333329</v>
      </c>
      <c r="E65" s="2">
        <v>45.237654320987652</v>
      </c>
    </row>
    <row r="66" spans="2:5" x14ac:dyDescent="0.3">
      <c r="B66" s="1">
        <v>37</v>
      </c>
      <c r="C66" s="2">
        <v>45.691666666666656</v>
      </c>
      <c r="D66" s="2">
        <v>45.479166666666664</v>
      </c>
      <c r="E66" s="2">
        <v>44.885802469135797</v>
      </c>
    </row>
    <row r="67" spans="2:5" x14ac:dyDescent="0.3">
      <c r="B67" s="1">
        <v>36</v>
      </c>
      <c r="C67" s="2">
        <v>45.31666666666667</v>
      </c>
      <c r="D67" s="2">
        <v>45.041666666666664</v>
      </c>
      <c r="E67" s="2">
        <v>44.60873694207028</v>
      </c>
    </row>
    <row r="68" spans="2:5" x14ac:dyDescent="0.3">
      <c r="B68" s="1">
        <v>35</v>
      </c>
      <c r="C68" s="2">
        <v>44.958333333333336</v>
      </c>
      <c r="D68" s="2">
        <v>44.708333333333329</v>
      </c>
      <c r="E68" s="2">
        <v>44.35283543616876</v>
      </c>
    </row>
    <row r="69" spans="2:5" x14ac:dyDescent="0.3">
      <c r="B69" s="1">
        <v>34</v>
      </c>
      <c r="C69" s="2">
        <v>44.599999999999994</v>
      </c>
      <c r="D69" s="2">
        <v>44.385416666666664</v>
      </c>
      <c r="E69" s="2">
        <v>44.106193189526522</v>
      </c>
    </row>
    <row r="70" spans="2:5" x14ac:dyDescent="0.3">
      <c r="B70" s="1">
        <v>33</v>
      </c>
      <c r="C70" s="2">
        <v>44.233333333333334</v>
      </c>
      <c r="D70" s="2">
        <v>44.072916666666664</v>
      </c>
      <c r="E70" s="2">
        <v>43.84103242436575</v>
      </c>
    </row>
    <row r="71" spans="2:5" x14ac:dyDescent="0.3">
      <c r="B71" s="1">
        <v>32</v>
      </c>
      <c r="C71" s="2">
        <v>43.9</v>
      </c>
      <c r="D71" s="2">
        <v>43.78125</v>
      </c>
      <c r="E71" s="2">
        <v>43.575871659204985</v>
      </c>
    </row>
    <row r="72" spans="2:5" x14ac:dyDescent="0.3">
      <c r="B72" s="1">
        <v>31</v>
      </c>
      <c r="C72" s="2">
        <v>43.566666666666663</v>
      </c>
      <c r="D72" s="2">
        <v>43.489583333333329</v>
      </c>
      <c r="E72" s="2">
        <v>43.328612128612122</v>
      </c>
    </row>
    <row r="73" spans="2:5" x14ac:dyDescent="0.3">
      <c r="B73" s="1">
        <v>30</v>
      </c>
      <c r="C73" s="2">
        <v>43.258333333333333</v>
      </c>
      <c r="D73" s="2">
        <v>43.166666666666664</v>
      </c>
      <c r="E73" s="2">
        <v>43.062834079500739</v>
      </c>
    </row>
    <row r="74" spans="2:5" x14ac:dyDescent="0.3">
      <c r="B74" s="1">
        <v>29</v>
      </c>
      <c r="C74" s="2">
        <v>42.966666666666661</v>
      </c>
      <c r="D74" s="2">
        <v>42.8125</v>
      </c>
      <c r="E74" s="2">
        <v>42.858167141500466</v>
      </c>
    </row>
    <row r="75" spans="2:5" x14ac:dyDescent="0.3">
      <c r="B75" s="1">
        <v>28</v>
      </c>
      <c r="C75" s="2">
        <v>42.633333333333333</v>
      </c>
      <c r="D75" s="2">
        <v>42.46875</v>
      </c>
      <c r="E75" s="2">
        <v>42.669373219373213</v>
      </c>
    </row>
    <row r="76" spans="2:5" x14ac:dyDescent="0.3">
      <c r="B76" s="1">
        <v>27</v>
      </c>
      <c r="C76" s="2">
        <v>42.274999999999999</v>
      </c>
      <c r="D76" s="2">
        <v>42.114583333333329</v>
      </c>
      <c r="E76" s="2">
        <v>42.480579297245953</v>
      </c>
    </row>
    <row r="77" spans="2:5" x14ac:dyDescent="0.3">
      <c r="B77" s="1">
        <v>26</v>
      </c>
      <c r="C77" s="2">
        <v>41.938333333333333</v>
      </c>
      <c r="D77" s="2">
        <v>41.760416666666664</v>
      </c>
      <c r="E77" s="2">
        <v>42.267711301044628</v>
      </c>
    </row>
    <row r="78" spans="2:5" x14ac:dyDescent="0.3">
      <c r="B78" s="1">
        <v>25</v>
      </c>
      <c r="C78" s="2">
        <v>41.593333333333334</v>
      </c>
      <c r="D78" s="2">
        <v>41.416666666666664</v>
      </c>
      <c r="E78" s="2">
        <v>42.064102564102555</v>
      </c>
    </row>
    <row r="79" spans="2:5" x14ac:dyDescent="0.3">
      <c r="B79" s="1">
        <v>24</v>
      </c>
      <c r="C79" s="2">
        <v>41.248333333333328</v>
      </c>
      <c r="D79" s="2">
        <v>41.104166666666657</v>
      </c>
      <c r="E79" s="2">
        <v>41.854938271604937</v>
      </c>
    </row>
    <row r="80" spans="2:5" x14ac:dyDescent="0.3">
      <c r="B80" s="1">
        <v>23</v>
      </c>
      <c r="C80" s="2">
        <v>40.903333333333329</v>
      </c>
      <c r="D80" s="2">
        <v>40.791666666666664</v>
      </c>
      <c r="E80" s="2">
        <v>41.660493827160494</v>
      </c>
    </row>
    <row r="81" spans="2:5" x14ac:dyDescent="0.3">
      <c r="B81" s="1">
        <v>22</v>
      </c>
      <c r="C81" s="2">
        <v>40.541666666666664</v>
      </c>
      <c r="D81" s="2">
        <v>40.479166666666664</v>
      </c>
      <c r="E81" s="2">
        <v>41.45326278659612</v>
      </c>
    </row>
    <row r="82" spans="2:5" x14ac:dyDescent="0.3">
      <c r="B82" s="1">
        <v>21</v>
      </c>
      <c r="C82" s="2">
        <v>40.183333333333337</v>
      </c>
      <c r="D82" s="2">
        <v>40.145833333333329</v>
      </c>
      <c r="E82" s="2">
        <v>41.218253968253961</v>
      </c>
    </row>
    <row r="83" spans="2:5" x14ac:dyDescent="0.3">
      <c r="B83" s="1">
        <v>20</v>
      </c>
      <c r="C83" s="2">
        <v>39.841666666666661</v>
      </c>
      <c r="D83" s="2">
        <v>39.80833333333333</v>
      </c>
      <c r="E83" s="2">
        <v>40.973985890652557</v>
      </c>
    </row>
    <row r="84" spans="2:5" x14ac:dyDescent="0.3">
      <c r="B84" s="1">
        <v>19</v>
      </c>
      <c r="C84" s="2">
        <v>39.491666666666667</v>
      </c>
      <c r="D84" s="2">
        <v>39.449999999999996</v>
      </c>
      <c r="E84" s="2">
        <v>40.748236331569657</v>
      </c>
    </row>
    <row r="85" spans="2:5" x14ac:dyDescent="0.3">
      <c r="B85" s="1">
        <v>18</v>
      </c>
      <c r="C85" s="2">
        <v>39.133333333333333</v>
      </c>
      <c r="D85" s="2">
        <v>39.091666666666661</v>
      </c>
      <c r="E85" s="2">
        <v>40.513227513227513</v>
      </c>
    </row>
    <row r="86" spans="2:5" x14ac:dyDescent="0.3">
      <c r="B86" s="1">
        <v>17</v>
      </c>
      <c r="C86" s="2">
        <v>38.758333333333333</v>
      </c>
      <c r="D86" s="2">
        <v>38.78541666666667</v>
      </c>
      <c r="E86" s="2">
        <v>40.292416225749555</v>
      </c>
    </row>
    <row r="87" spans="2:5" x14ac:dyDescent="0.3">
      <c r="B87" s="1">
        <v>16</v>
      </c>
      <c r="C87" s="2">
        <v>38.391666666666666</v>
      </c>
      <c r="D87" s="2">
        <v>38.474999999999994</v>
      </c>
      <c r="E87" s="2">
        <v>40.080864197530865</v>
      </c>
    </row>
    <row r="88" spans="2:5" x14ac:dyDescent="0.3">
      <c r="B88" s="1">
        <v>15</v>
      </c>
      <c r="C88" s="2">
        <v>38.041666666666664</v>
      </c>
      <c r="D88" s="2">
        <v>38.14791666666666</v>
      </c>
      <c r="E88" s="2">
        <v>39.885185185185179</v>
      </c>
    </row>
    <row r="89" spans="2:5" x14ac:dyDescent="0.3">
      <c r="B89" s="1">
        <v>14</v>
      </c>
      <c r="C89" s="2">
        <v>37.658333333333331</v>
      </c>
      <c r="D89" s="2">
        <v>37.841666666666669</v>
      </c>
      <c r="E89" s="2">
        <v>39.683333333333337</v>
      </c>
    </row>
    <row r="90" spans="2:5" x14ac:dyDescent="0.3">
      <c r="B90" s="1">
        <v>13</v>
      </c>
      <c r="C90" s="2">
        <v>37.283333333333331</v>
      </c>
      <c r="D90" s="2">
        <v>37.524999999999991</v>
      </c>
      <c r="E90" s="2">
        <v>39.481481481481488</v>
      </c>
    </row>
    <row r="91" spans="2:5" x14ac:dyDescent="0.3">
      <c r="B91" s="1">
        <v>12</v>
      </c>
      <c r="C91" s="2">
        <v>36.924999999999997</v>
      </c>
      <c r="D91" s="2">
        <v>37.1875</v>
      </c>
      <c r="E91" s="2">
        <v>39.25</v>
      </c>
    </row>
    <row r="92" spans="2:5" x14ac:dyDescent="0.3">
      <c r="B92" s="1">
        <v>11</v>
      </c>
      <c r="C92" s="2">
        <v>36.591666666666661</v>
      </c>
      <c r="D92" s="2">
        <v>36.802083333333329</v>
      </c>
      <c r="E92" s="2">
        <v>39.00555555555556</v>
      </c>
    </row>
    <row r="93" spans="2:5" x14ac:dyDescent="0.3">
      <c r="B93" s="1">
        <v>10</v>
      </c>
      <c r="C93" s="2">
        <v>36.166666666666664</v>
      </c>
      <c r="D93" s="2">
        <v>36.4375</v>
      </c>
      <c r="E93" s="2">
        <v>38.761111111111106</v>
      </c>
    </row>
    <row r="94" spans="2:5" x14ac:dyDescent="0.3">
      <c r="B94" s="1">
        <v>9</v>
      </c>
      <c r="C94" s="2">
        <v>35.799999999999997</v>
      </c>
      <c r="D94" s="2">
        <v>36.09375</v>
      </c>
      <c r="E94" s="2">
        <v>38.512962962962966</v>
      </c>
    </row>
    <row r="95" spans="2:5" x14ac:dyDescent="0.3">
      <c r="B95" s="1">
        <v>8</v>
      </c>
      <c r="C95" s="2">
        <v>35.43333333333333</v>
      </c>
      <c r="D95" s="2">
        <v>35.749999999999993</v>
      </c>
      <c r="E95" s="2">
        <v>38.246296296296293</v>
      </c>
    </row>
    <row r="96" spans="2:5" x14ac:dyDescent="0.3">
      <c r="B96" s="1">
        <v>7</v>
      </c>
      <c r="C96" s="2">
        <v>34.975000000000001</v>
      </c>
      <c r="D96" s="2">
        <v>35.395833333333329</v>
      </c>
      <c r="E96" s="2">
        <v>37.970370370370368</v>
      </c>
    </row>
    <row r="97" spans="2:5" x14ac:dyDescent="0.3">
      <c r="B97" s="1">
        <v>6</v>
      </c>
      <c r="C97" s="2">
        <v>34.466666666666669</v>
      </c>
      <c r="D97" s="2">
        <v>34.874999999999993</v>
      </c>
      <c r="E97" s="2">
        <v>37.679629629629623</v>
      </c>
    </row>
    <row r="98" spans="2:5" x14ac:dyDescent="0.3">
      <c r="B98" s="1">
        <v>5</v>
      </c>
      <c r="C98" s="2">
        <v>33.93333333333333</v>
      </c>
      <c r="D98" s="2">
        <v>34.416666666666664</v>
      </c>
      <c r="E98" s="2">
        <v>37.31481481481481</v>
      </c>
    </row>
    <row r="99" spans="2:5" x14ac:dyDescent="0.3">
      <c r="B99" s="1">
        <v>4</v>
      </c>
      <c r="C99" s="2">
        <v>33.35</v>
      </c>
      <c r="D99" s="2">
        <v>33.916666666666664</v>
      </c>
      <c r="E99" s="2">
        <v>36.907407407407405</v>
      </c>
    </row>
    <row r="100" spans="2:5" x14ac:dyDescent="0.3">
      <c r="B100" s="1">
        <v>3</v>
      </c>
      <c r="C100" s="2">
        <v>32.450000000000003</v>
      </c>
      <c r="D100" s="2">
        <v>33.1875</v>
      </c>
      <c r="E100" s="2">
        <v>36.407407407407405</v>
      </c>
    </row>
    <row r="101" spans="2:5" x14ac:dyDescent="0.3">
      <c r="B101" s="1">
        <v>2</v>
      </c>
      <c r="C101" s="2">
        <v>31.6</v>
      </c>
      <c r="D101" s="2">
        <v>32.3125</v>
      </c>
      <c r="E101" s="2">
        <v>35.833333333333336</v>
      </c>
    </row>
    <row r="102" spans="2:5" x14ac:dyDescent="0.3">
      <c r="B102" s="1">
        <v>1</v>
      </c>
      <c r="C102" s="2">
        <v>30.5</v>
      </c>
      <c r="D102" s="2">
        <v>31.25</v>
      </c>
      <c r="E102" s="2">
        <v>34.944444444444443</v>
      </c>
    </row>
    <row r="103" spans="2:5" x14ac:dyDescent="0.3">
      <c r="B103" s="1">
        <v>0</v>
      </c>
      <c r="C103" s="2">
        <v>28.9</v>
      </c>
      <c r="D103" s="2">
        <v>29.625</v>
      </c>
      <c r="E103" s="2">
        <v>33.555555555555557</v>
      </c>
    </row>
  </sheetData>
  <sheetProtection password="B7A3" sheet="1" objects="1" scenarios="1" formatCells="0" formatColumns="0" formatRows="0" insertColumns="0" insertRows="0" insertHyperlinks="0" deleteColumns="0" deleteRows="0" selectLockedCells="1" sort="0" autoFilter="0" pivotTables="0"/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F103"/>
  <sheetViews>
    <sheetView workbookViewId="0">
      <selection activeCell="V3" sqref="V3"/>
    </sheetView>
  </sheetViews>
  <sheetFormatPr defaultRowHeight="16.5" x14ac:dyDescent="0.3"/>
  <cols>
    <col min="1" max="26" width="9" style="3"/>
    <col min="27" max="27" width="10.25" style="3" bestFit="1" customWidth="1"/>
    <col min="28" max="16384" width="9" style="3"/>
  </cols>
  <sheetData>
    <row r="2" spans="2:32" x14ac:dyDescent="0.3">
      <c r="B2" s="1" t="s">
        <v>306</v>
      </c>
      <c r="C2" s="2" t="s">
        <v>9</v>
      </c>
      <c r="D2" s="2" t="s">
        <v>8</v>
      </c>
      <c r="E2" s="2" t="s">
        <v>12</v>
      </c>
      <c r="G2" s="1" t="s">
        <v>304</v>
      </c>
      <c r="H2" s="2" t="s">
        <v>9</v>
      </c>
      <c r="I2" s="2" t="s">
        <v>8</v>
      </c>
      <c r="J2" s="4" t="s">
        <v>12</v>
      </c>
      <c r="K2" s="5"/>
      <c r="L2" s="6" t="s">
        <v>326</v>
      </c>
      <c r="M2" s="2" t="s">
        <v>324</v>
      </c>
      <c r="N2" s="2" t="s">
        <v>325</v>
      </c>
      <c r="O2" s="2" t="s">
        <v>12</v>
      </c>
      <c r="Q2" s="1" t="s">
        <v>160</v>
      </c>
      <c r="R2" s="2" t="s">
        <v>9</v>
      </c>
      <c r="S2" s="2" t="s">
        <v>8</v>
      </c>
      <c r="T2" s="2" t="s">
        <v>12</v>
      </c>
      <c r="V2" s="1" t="s">
        <v>327</v>
      </c>
      <c r="W2" s="2" t="s">
        <v>9</v>
      </c>
      <c r="X2" s="2" t="s">
        <v>8</v>
      </c>
      <c r="Y2" s="2" t="s">
        <v>12</v>
      </c>
      <c r="AA2" s="1" t="s">
        <v>298</v>
      </c>
      <c r="AB2" s="2" t="s">
        <v>8</v>
      </c>
      <c r="AD2" s="136" t="s">
        <v>300</v>
      </c>
      <c r="AE2" s="136" t="s">
        <v>9</v>
      </c>
      <c r="AF2" s="136" t="s">
        <v>8</v>
      </c>
    </row>
    <row r="3" spans="2:32" x14ac:dyDescent="0.3">
      <c r="B3" s="1">
        <v>100</v>
      </c>
      <c r="C3" s="2">
        <v>66.400000000000006</v>
      </c>
      <c r="D3" s="2">
        <v>69.63</v>
      </c>
      <c r="E3" s="2">
        <v>73.333333333333329</v>
      </c>
      <c r="G3" s="1">
        <v>100</v>
      </c>
      <c r="H3" s="2">
        <v>66.400000000000006</v>
      </c>
      <c r="I3" s="2">
        <v>69.62</v>
      </c>
      <c r="J3" s="4">
        <v>73.33</v>
      </c>
      <c r="K3" s="5"/>
      <c r="L3" s="6">
        <v>100</v>
      </c>
      <c r="M3" s="2">
        <v>66.400000000000006</v>
      </c>
      <c r="N3" s="2">
        <v>70.73</v>
      </c>
      <c r="O3" s="2">
        <v>73.333333333333329</v>
      </c>
      <c r="Q3" s="1">
        <v>100</v>
      </c>
      <c r="R3" s="2">
        <v>66.75</v>
      </c>
      <c r="S3" s="2">
        <v>70.75</v>
      </c>
      <c r="T3" s="2">
        <v>73.333333333333329</v>
      </c>
      <c r="V3" s="1">
        <v>100</v>
      </c>
      <c r="W3" s="2">
        <v>66.790000000000006</v>
      </c>
      <c r="X3" s="2">
        <v>69.63</v>
      </c>
      <c r="Y3" s="2">
        <v>73.333333333333329</v>
      </c>
      <c r="AA3" s="1">
        <v>100</v>
      </c>
      <c r="AB3" s="2">
        <v>69.63</v>
      </c>
      <c r="AD3" s="136">
        <v>100</v>
      </c>
      <c r="AE3" s="136">
        <v>66.400000000000006</v>
      </c>
      <c r="AF3" s="136">
        <v>69.62</v>
      </c>
    </row>
    <row r="4" spans="2:32" x14ac:dyDescent="0.3">
      <c r="B4" s="1">
        <v>99</v>
      </c>
      <c r="C4" s="2">
        <v>66.19</v>
      </c>
      <c r="D4" s="2">
        <v>68.53</v>
      </c>
      <c r="E4" s="2">
        <v>72.722222222222229</v>
      </c>
      <c r="G4" s="1">
        <v>99</v>
      </c>
      <c r="H4" s="2">
        <v>66.2</v>
      </c>
      <c r="I4" s="2">
        <v>68.5</v>
      </c>
      <c r="J4" s="4">
        <v>72.72</v>
      </c>
      <c r="K4" s="5"/>
      <c r="L4" s="6">
        <v>99</v>
      </c>
      <c r="M4" s="2">
        <v>66.25</v>
      </c>
      <c r="N4" s="2">
        <v>69.599999999999994</v>
      </c>
      <c r="O4" s="2">
        <v>72.722222222222229</v>
      </c>
      <c r="Q4" s="1">
        <v>99</v>
      </c>
      <c r="R4" s="2">
        <v>66.3</v>
      </c>
      <c r="S4" s="2">
        <v>68.709999999999994</v>
      </c>
      <c r="T4" s="2">
        <v>72.722222222222229</v>
      </c>
      <c r="V4" s="1">
        <v>99</v>
      </c>
      <c r="W4" s="2">
        <v>66.31</v>
      </c>
      <c r="X4" s="2">
        <v>68.5</v>
      </c>
      <c r="Y4" s="2">
        <v>72.722222222222229</v>
      </c>
      <c r="AA4" s="1">
        <v>99</v>
      </c>
      <c r="AB4" s="2">
        <v>68.75</v>
      </c>
      <c r="AD4" s="136">
        <v>99</v>
      </c>
      <c r="AE4" s="136">
        <v>66.2</v>
      </c>
      <c r="AF4" s="136">
        <v>68.5</v>
      </c>
    </row>
    <row r="5" spans="2:32" x14ac:dyDescent="0.3">
      <c r="B5" s="1">
        <v>98</v>
      </c>
      <c r="C5" s="2">
        <v>65.92</v>
      </c>
      <c r="D5" s="2">
        <v>67.25</v>
      </c>
      <c r="E5" s="2">
        <v>71.888888888888886</v>
      </c>
      <c r="G5" s="1">
        <v>98</v>
      </c>
      <c r="H5" s="2">
        <v>65.849999999999994</v>
      </c>
      <c r="I5" s="2">
        <v>67.25</v>
      </c>
      <c r="J5" s="4">
        <v>71.88</v>
      </c>
      <c r="K5" s="5"/>
      <c r="L5" s="6">
        <v>98</v>
      </c>
      <c r="M5" s="2">
        <v>66.11</v>
      </c>
      <c r="N5" s="2">
        <v>68.349999999999994</v>
      </c>
      <c r="O5" s="2">
        <v>71.888888888888886</v>
      </c>
      <c r="Q5" s="1">
        <v>98</v>
      </c>
      <c r="R5" s="2">
        <v>65.849999999999994</v>
      </c>
      <c r="S5" s="2">
        <v>67.25</v>
      </c>
      <c r="T5" s="2">
        <v>71.888888888888886</v>
      </c>
      <c r="V5" s="1">
        <v>98</v>
      </c>
      <c r="W5" s="2">
        <v>65.849999999999994</v>
      </c>
      <c r="X5" s="2">
        <v>67.31</v>
      </c>
      <c r="Y5" s="2">
        <v>71.888888888888886</v>
      </c>
      <c r="AA5" s="1">
        <v>98</v>
      </c>
      <c r="AB5" s="2">
        <v>67.63</v>
      </c>
      <c r="AD5" s="136">
        <v>98</v>
      </c>
      <c r="AE5" s="136">
        <v>65.849999999999994</v>
      </c>
      <c r="AF5" s="136">
        <v>67.25</v>
      </c>
    </row>
    <row r="6" spans="2:32" x14ac:dyDescent="0.3">
      <c r="B6" s="1">
        <v>97</v>
      </c>
      <c r="C6" s="2">
        <v>65.48</v>
      </c>
      <c r="D6" s="2">
        <v>66.47</v>
      </c>
      <c r="E6" s="2">
        <v>71.055555555555557</v>
      </c>
      <c r="G6" s="1">
        <v>97</v>
      </c>
      <c r="H6" s="2">
        <v>65.48</v>
      </c>
      <c r="I6" s="2">
        <v>66.459999999999994</v>
      </c>
      <c r="J6" s="4">
        <v>71.05</v>
      </c>
      <c r="K6" s="5"/>
      <c r="L6" s="6">
        <v>97</v>
      </c>
      <c r="M6" s="2">
        <v>65.959999999999994</v>
      </c>
      <c r="N6" s="2">
        <v>67.56</v>
      </c>
      <c r="O6" s="2">
        <v>71.055555555555557</v>
      </c>
      <c r="Q6" s="1">
        <v>97</v>
      </c>
      <c r="R6" s="2">
        <v>65.48</v>
      </c>
      <c r="S6" s="2">
        <v>66.47</v>
      </c>
      <c r="T6" s="2">
        <v>71.055555555555557</v>
      </c>
      <c r="V6" s="1">
        <v>97</v>
      </c>
      <c r="W6" s="2">
        <v>65.48</v>
      </c>
      <c r="X6" s="2">
        <v>66.48</v>
      </c>
      <c r="Y6" s="2">
        <v>71.055555555555557</v>
      </c>
      <c r="AA6" s="1">
        <v>97</v>
      </c>
      <c r="AB6" s="2">
        <v>67</v>
      </c>
      <c r="AD6" s="136">
        <v>97</v>
      </c>
      <c r="AE6" s="136">
        <v>65.48</v>
      </c>
      <c r="AF6" s="136">
        <v>66.459999999999994</v>
      </c>
    </row>
    <row r="7" spans="2:32" x14ac:dyDescent="0.3">
      <c r="B7" s="1">
        <v>96</v>
      </c>
      <c r="C7" s="2">
        <v>65.040000000000006</v>
      </c>
      <c r="D7" s="2">
        <v>65.83</v>
      </c>
      <c r="E7" s="2">
        <v>69.972222222222229</v>
      </c>
      <c r="G7" s="1">
        <v>96</v>
      </c>
      <c r="H7" s="2">
        <v>65.099999999999994</v>
      </c>
      <c r="I7" s="2">
        <v>65.83</v>
      </c>
      <c r="J7" s="4">
        <v>69.97</v>
      </c>
      <c r="K7" s="5"/>
      <c r="L7" s="6">
        <v>96</v>
      </c>
      <c r="M7" s="2">
        <v>65.83</v>
      </c>
      <c r="N7" s="2">
        <v>66.930000000000007</v>
      </c>
      <c r="O7" s="2">
        <v>69.972222222222229</v>
      </c>
      <c r="Q7" s="1">
        <v>96</v>
      </c>
      <c r="R7" s="2">
        <v>65.099999999999994</v>
      </c>
      <c r="S7" s="2">
        <v>65.83</v>
      </c>
      <c r="T7" s="2">
        <v>69.972222222222229</v>
      </c>
      <c r="V7" s="1">
        <v>96</v>
      </c>
      <c r="W7" s="2">
        <v>65.11</v>
      </c>
      <c r="X7" s="2">
        <v>65.84</v>
      </c>
      <c r="Y7" s="2">
        <v>69.972222222222229</v>
      </c>
      <c r="AA7" s="1">
        <v>96</v>
      </c>
      <c r="AB7" s="2">
        <v>65.88</v>
      </c>
      <c r="AD7" s="136">
        <v>96</v>
      </c>
      <c r="AE7" s="136">
        <v>65.099999999999994</v>
      </c>
      <c r="AF7" s="136">
        <v>65.83</v>
      </c>
    </row>
    <row r="8" spans="2:32" x14ac:dyDescent="0.3">
      <c r="B8" s="1">
        <v>95</v>
      </c>
      <c r="C8" s="2">
        <v>64.67</v>
      </c>
      <c r="D8" s="2">
        <v>65.319999999999993</v>
      </c>
      <c r="E8" s="2">
        <v>69.203703703703695</v>
      </c>
      <c r="G8" s="1">
        <v>95</v>
      </c>
      <c r="H8" s="2">
        <v>64.7</v>
      </c>
      <c r="I8" s="2">
        <v>65.319999999999993</v>
      </c>
      <c r="J8" s="4">
        <v>69.2</v>
      </c>
      <c r="K8" s="5"/>
      <c r="L8" s="6">
        <v>95</v>
      </c>
      <c r="M8" s="2">
        <v>65.52</v>
      </c>
      <c r="N8" s="2">
        <v>66.41</v>
      </c>
      <c r="O8" s="2">
        <v>69.203703703703695</v>
      </c>
      <c r="Q8" s="1">
        <v>95</v>
      </c>
      <c r="R8" s="2">
        <v>64.7</v>
      </c>
      <c r="S8" s="2">
        <v>65.319999999999993</v>
      </c>
      <c r="T8" s="2">
        <v>69.203703703703695</v>
      </c>
      <c r="V8" s="1">
        <v>95</v>
      </c>
      <c r="W8" s="2">
        <v>64.69</v>
      </c>
      <c r="X8" s="2">
        <v>65.31</v>
      </c>
      <c r="Y8" s="2">
        <v>69.203703703703695</v>
      </c>
      <c r="AA8" s="1">
        <v>95</v>
      </c>
      <c r="AB8" s="2">
        <v>65.25</v>
      </c>
      <c r="AD8" s="136">
        <v>95</v>
      </c>
      <c r="AE8" s="136">
        <v>64.7</v>
      </c>
      <c r="AF8" s="136">
        <v>65.319999999999993</v>
      </c>
    </row>
    <row r="9" spans="2:32" x14ac:dyDescent="0.3">
      <c r="B9" s="1">
        <v>94</v>
      </c>
      <c r="C9" s="2">
        <v>64.33</v>
      </c>
      <c r="D9" s="2">
        <v>64.81</v>
      </c>
      <c r="E9" s="2">
        <v>68.138888888888886</v>
      </c>
      <c r="G9" s="1">
        <v>94</v>
      </c>
      <c r="H9" s="2">
        <v>64.33</v>
      </c>
      <c r="I9" s="2">
        <v>64.81</v>
      </c>
      <c r="J9" s="4">
        <v>68.13</v>
      </c>
      <c r="K9" s="5"/>
      <c r="L9" s="6">
        <v>94</v>
      </c>
      <c r="M9" s="2">
        <v>65.22</v>
      </c>
      <c r="N9" s="2">
        <v>65.91</v>
      </c>
      <c r="O9" s="2">
        <v>68.138888888888886</v>
      </c>
      <c r="Q9" s="1">
        <v>94</v>
      </c>
      <c r="R9" s="2">
        <v>64.33</v>
      </c>
      <c r="S9" s="2">
        <v>64.81</v>
      </c>
      <c r="T9" s="2">
        <v>68.138888888888886</v>
      </c>
      <c r="V9" s="1">
        <v>94</v>
      </c>
      <c r="W9" s="2">
        <v>64.34</v>
      </c>
      <c r="X9" s="2">
        <v>64.81</v>
      </c>
      <c r="Y9" s="2">
        <v>68.138888888888886</v>
      </c>
      <c r="AA9" s="1">
        <v>94</v>
      </c>
      <c r="AB9" s="2">
        <v>64.75</v>
      </c>
      <c r="AD9" s="136">
        <v>94</v>
      </c>
      <c r="AE9" s="136">
        <v>64.33</v>
      </c>
      <c r="AF9" s="136">
        <v>64.81</v>
      </c>
    </row>
    <row r="10" spans="2:32" x14ac:dyDescent="0.3">
      <c r="B10" s="1">
        <v>93</v>
      </c>
      <c r="C10" s="2">
        <v>64.03</v>
      </c>
      <c r="D10" s="2">
        <v>64.37</v>
      </c>
      <c r="E10" s="2">
        <v>67.092592592592595</v>
      </c>
      <c r="G10" s="1">
        <v>93</v>
      </c>
      <c r="H10" s="2">
        <v>64.02</v>
      </c>
      <c r="I10" s="2">
        <v>64.36</v>
      </c>
      <c r="J10" s="4">
        <v>67.09</v>
      </c>
      <c r="K10" s="5"/>
      <c r="L10" s="6">
        <v>93</v>
      </c>
      <c r="M10" s="2">
        <v>64.92</v>
      </c>
      <c r="N10" s="2">
        <v>65.45</v>
      </c>
      <c r="O10" s="2">
        <v>67.092592592592595</v>
      </c>
      <c r="Q10" s="1">
        <v>93</v>
      </c>
      <c r="R10" s="2">
        <v>64.03</v>
      </c>
      <c r="S10" s="2">
        <v>64.37</v>
      </c>
      <c r="T10" s="2">
        <v>67.092592592592595</v>
      </c>
      <c r="V10" s="1">
        <v>93</v>
      </c>
      <c r="W10" s="2">
        <v>64.040000000000006</v>
      </c>
      <c r="X10" s="2">
        <v>64.39</v>
      </c>
      <c r="Y10" s="2">
        <v>67.092592592592595</v>
      </c>
      <c r="AA10" s="1">
        <v>93</v>
      </c>
      <c r="AB10" s="2">
        <v>64.75</v>
      </c>
      <c r="AD10" s="136">
        <v>93</v>
      </c>
      <c r="AE10" s="136">
        <v>64.02</v>
      </c>
      <c r="AF10" s="136">
        <v>64.36</v>
      </c>
    </row>
    <row r="11" spans="2:32" x14ac:dyDescent="0.3">
      <c r="B11" s="1">
        <v>92</v>
      </c>
      <c r="C11" s="2">
        <v>63.7</v>
      </c>
      <c r="D11" s="2">
        <v>63.92</v>
      </c>
      <c r="E11" s="2">
        <v>65.93518518518519</v>
      </c>
      <c r="G11" s="1">
        <v>92</v>
      </c>
      <c r="H11" s="2">
        <v>63.7</v>
      </c>
      <c r="I11" s="2">
        <v>63.91</v>
      </c>
      <c r="J11" s="4">
        <v>65.930000000000007</v>
      </c>
      <c r="K11" s="5"/>
      <c r="L11" s="6">
        <v>92</v>
      </c>
      <c r="M11" s="2">
        <v>64.61</v>
      </c>
      <c r="N11" s="2">
        <v>65.02</v>
      </c>
      <c r="O11" s="2">
        <v>65.93518518518519</v>
      </c>
      <c r="Q11" s="1">
        <v>92</v>
      </c>
      <c r="R11" s="2">
        <v>63.7</v>
      </c>
      <c r="S11" s="2">
        <v>63.92</v>
      </c>
      <c r="T11" s="2">
        <v>65.93518518518519</v>
      </c>
      <c r="V11" s="1">
        <v>92</v>
      </c>
      <c r="W11" s="2">
        <v>63.68</v>
      </c>
      <c r="X11" s="2">
        <v>63.96</v>
      </c>
      <c r="Y11" s="2">
        <v>65.93518518518519</v>
      </c>
      <c r="AA11" s="1">
        <v>92</v>
      </c>
      <c r="AB11" s="2">
        <v>64.38</v>
      </c>
      <c r="AD11" s="136">
        <v>92</v>
      </c>
      <c r="AE11" s="136">
        <v>63.7</v>
      </c>
      <c r="AF11" s="136">
        <v>63.91</v>
      </c>
    </row>
    <row r="12" spans="2:32" x14ac:dyDescent="0.3">
      <c r="B12" s="1">
        <v>91</v>
      </c>
      <c r="C12" s="2">
        <v>63.39</v>
      </c>
      <c r="D12" s="2">
        <v>63.53</v>
      </c>
      <c r="E12" s="2">
        <v>64.585185185185182</v>
      </c>
      <c r="G12" s="1">
        <v>91</v>
      </c>
      <c r="H12" s="2">
        <v>63.38</v>
      </c>
      <c r="I12" s="2">
        <v>63.53</v>
      </c>
      <c r="J12" s="4">
        <v>64.58</v>
      </c>
      <c r="K12" s="5"/>
      <c r="L12" s="6">
        <v>91</v>
      </c>
      <c r="M12" s="2">
        <v>64.31</v>
      </c>
      <c r="N12" s="2">
        <v>64.63</v>
      </c>
      <c r="O12" s="2">
        <v>64.585185185185182</v>
      </c>
      <c r="Q12" s="1">
        <v>91</v>
      </c>
      <c r="R12" s="2">
        <v>63.39</v>
      </c>
      <c r="S12" s="2">
        <v>63.53</v>
      </c>
      <c r="T12" s="2">
        <v>64.585185185185182</v>
      </c>
      <c r="V12" s="1">
        <v>91</v>
      </c>
      <c r="W12" s="2">
        <v>63.39</v>
      </c>
      <c r="X12" s="2">
        <v>63.59</v>
      </c>
      <c r="Y12" s="2">
        <v>64.585185185185182</v>
      </c>
      <c r="AA12" s="1">
        <v>91</v>
      </c>
      <c r="AB12" s="2">
        <v>63.75</v>
      </c>
      <c r="AD12" s="136">
        <v>91</v>
      </c>
      <c r="AE12" s="136">
        <v>63.38</v>
      </c>
      <c r="AF12" s="136">
        <v>63.53</v>
      </c>
    </row>
    <row r="13" spans="2:32" x14ac:dyDescent="0.3">
      <c r="B13" s="1">
        <v>90</v>
      </c>
      <c r="C13" s="2">
        <v>63.03</v>
      </c>
      <c r="D13" s="2">
        <v>63.14</v>
      </c>
      <c r="E13" s="2">
        <v>63.161111111111119</v>
      </c>
      <c r="G13" s="1">
        <v>90</v>
      </c>
      <c r="H13" s="2">
        <v>63.02</v>
      </c>
      <c r="I13" s="2">
        <v>63.13</v>
      </c>
      <c r="J13" s="4">
        <v>63.16</v>
      </c>
      <c r="K13" s="5"/>
      <c r="L13" s="6">
        <v>90</v>
      </c>
      <c r="M13" s="2">
        <v>64.010000000000005</v>
      </c>
      <c r="N13" s="2">
        <v>64.23</v>
      </c>
      <c r="O13" s="2">
        <v>63.161111111111119</v>
      </c>
      <c r="Q13" s="1">
        <v>90</v>
      </c>
      <c r="R13" s="2">
        <v>63.03</v>
      </c>
      <c r="S13" s="2">
        <v>63.07</v>
      </c>
      <c r="T13" s="2">
        <v>63.161111111111119</v>
      </c>
      <c r="V13" s="1">
        <v>90</v>
      </c>
      <c r="W13" s="2">
        <v>63.04</v>
      </c>
      <c r="X13" s="2">
        <v>63.15</v>
      </c>
      <c r="Y13" s="2">
        <v>63.161111111111119</v>
      </c>
      <c r="AA13" s="1">
        <v>90</v>
      </c>
      <c r="AB13" s="2">
        <v>63.13</v>
      </c>
      <c r="AD13" s="136">
        <v>90</v>
      </c>
      <c r="AE13" s="136">
        <v>63.02</v>
      </c>
      <c r="AF13" s="136">
        <v>63.13</v>
      </c>
    </row>
    <row r="14" spans="2:32" x14ac:dyDescent="0.3">
      <c r="B14" s="1">
        <v>89</v>
      </c>
      <c r="C14" s="2">
        <v>62.74</v>
      </c>
      <c r="D14" s="2">
        <v>62.78</v>
      </c>
      <c r="E14" s="2">
        <v>62.524074074074079</v>
      </c>
      <c r="G14" s="1">
        <v>89</v>
      </c>
      <c r="H14" s="2">
        <v>62.74</v>
      </c>
      <c r="I14" s="2">
        <v>62.78</v>
      </c>
      <c r="J14" s="4">
        <v>62.52</v>
      </c>
      <c r="K14" s="5"/>
      <c r="L14" s="6">
        <v>89</v>
      </c>
      <c r="M14" s="2">
        <v>63.7</v>
      </c>
      <c r="N14" s="2">
        <v>63.88</v>
      </c>
      <c r="O14" s="2">
        <v>62.524074074074079</v>
      </c>
      <c r="Q14" s="1">
        <v>89</v>
      </c>
      <c r="R14" s="2">
        <v>62.74</v>
      </c>
      <c r="S14" s="2">
        <v>62.75</v>
      </c>
      <c r="T14" s="2">
        <v>62.524074074074079</v>
      </c>
      <c r="V14" s="1">
        <v>89</v>
      </c>
      <c r="W14" s="2">
        <v>62.75</v>
      </c>
      <c r="X14" s="2">
        <v>62.79</v>
      </c>
      <c r="Y14" s="2">
        <v>62.524074074074079</v>
      </c>
      <c r="AA14" s="1">
        <v>89</v>
      </c>
      <c r="AB14" s="2">
        <v>63</v>
      </c>
      <c r="AD14" s="136">
        <v>89</v>
      </c>
      <c r="AE14" s="136">
        <v>62.74</v>
      </c>
      <c r="AF14" s="136">
        <v>62.78</v>
      </c>
    </row>
    <row r="15" spans="2:32" x14ac:dyDescent="0.3">
      <c r="B15" s="1">
        <v>88</v>
      </c>
      <c r="C15" s="2">
        <v>62.47</v>
      </c>
      <c r="D15" s="2">
        <v>62.48</v>
      </c>
      <c r="E15" s="2">
        <v>62.01203703703704</v>
      </c>
      <c r="G15" s="1">
        <v>88</v>
      </c>
      <c r="H15" s="2">
        <v>62.47</v>
      </c>
      <c r="I15" s="2">
        <v>62.47</v>
      </c>
      <c r="J15" s="4">
        <v>62.01</v>
      </c>
      <c r="K15" s="5"/>
      <c r="L15" s="6">
        <v>88</v>
      </c>
      <c r="M15" s="2">
        <v>63.37</v>
      </c>
      <c r="N15" s="2">
        <v>63.58</v>
      </c>
      <c r="O15" s="2">
        <v>62.01203703703704</v>
      </c>
      <c r="Q15" s="1">
        <v>88</v>
      </c>
      <c r="R15" s="2">
        <v>62.46</v>
      </c>
      <c r="S15" s="2">
        <v>62.46</v>
      </c>
      <c r="T15" s="2">
        <v>62.01203703703704</v>
      </c>
      <c r="V15" s="1">
        <v>88</v>
      </c>
      <c r="W15" s="2">
        <v>62.46</v>
      </c>
      <c r="X15" s="2">
        <v>62.48</v>
      </c>
      <c r="Y15" s="2">
        <v>62.01203703703704</v>
      </c>
      <c r="AA15" s="1">
        <v>88</v>
      </c>
      <c r="AB15" s="2">
        <v>62.63</v>
      </c>
      <c r="AD15" s="136">
        <v>88</v>
      </c>
      <c r="AE15" s="136">
        <v>62.47</v>
      </c>
      <c r="AF15" s="136">
        <v>62.47</v>
      </c>
    </row>
    <row r="16" spans="2:32" x14ac:dyDescent="0.3">
      <c r="B16" s="1">
        <v>87</v>
      </c>
      <c r="C16" s="2">
        <v>62.19</v>
      </c>
      <c r="D16" s="2">
        <v>62.18</v>
      </c>
      <c r="E16" s="2">
        <v>61.444444444444443</v>
      </c>
      <c r="G16" s="1">
        <v>87</v>
      </c>
      <c r="H16" s="2">
        <v>62.18</v>
      </c>
      <c r="I16" s="2">
        <v>62.17</v>
      </c>
      <c r="J16" s="4">
        <v>61.44</v>
      </c>
      <c r="K16" s="5"/>
      <c r="L16" s="6">
        <v>87</v>
      </c>
      <c r="M16" s="2">
        <v>63.09</v>
      </c>
      <c r="N16" s="2">
        <v>63.28</v>
      </c>
      <c r="O16" s="2">
        <v>61.444444444444443</v>
      </c>
      <c r="Q16" s="1">
        <v>87</v>
      </c>
      <c r="R16" s="2">
        <v>62.17</v>
      </c>
      <c r="S16" s="2">
        <v>62.17</v>
      </c>
      <c r="T16" s="2">
        <v>61.444444444444443</v>
      </c>
      <c r="V16" s="1">
        <v>87</v>
      </c>
      <c r="W16" s="2">
        <v>62.18</v>
      </c>
      <c r="X16" s="2">
        <v>62.18</v>
      </c>
      <c r="Y16" s="2">
        <v>61.444444444444443</v>
      </c>
      <c r="AA16" s="1">
        <v>87</v>
      </c>
      <c r="AB16" s="2">
        <v>62.25</v>
      </c>
      <c r="AD16" s="136">
        <v>87</v>
      </c>
      <c r="AE16" s="136">
        <v>62.18</v>
      </c>
      <c r="AF16" s="136">
        <v>62.17</v>
      </c>
    </row>
    <row r="17" spans="2:32" x14ac:dyDescent="0.3">
      <c r="B17" s="1">
        <v>86</v>
      </c>
      <c r="C17" s="2">
        <v>61.9</v>
      </c>
      <c r="D17" s="2">
        <v>61.82</v>
      </c>
      <c r="E17" s="2">
        <v>60.982407407407408</v>
      </c>
      <c r="G17" s="1">
        <v>86</v>
      </c>
      <c r="H17" s="2">
        <v>61.89</v>
      </c>
      <c r="I17" s="2">
        <v>61.82</v>
      </c>
      <c r="J17" s="4">
        <v>60.98</v>
      </c>
      <c r="K17" s="5"/>
      <c r="L17" s="6">
        <v>86</v>
      </c>
      <c r="M17" s="2">
        <v>62.8</v>
      </c>
      <c r="N17" s="2">
        <v>62.92</v>
      </c>
      <c r="O17" s="2">
        <v>60.982407407407408</v>
      </c>
      <c r="Q17" s="1">
        <v>86</v>
      </c>
      <c r="R17" s="2">
        <v>61.86</v>
      </c>
      <c r="S17" s="2">
        <v>61.82</v>
      </c>
      <c r="T17" s="2">
        <v>60.982407407407408</v>
      </c>
      <c r="V17" s="1">
        <v>86</v>
      </c>
      <c r="W17" s="2">
        <v>61.92</v>
      </c>
      <c r="X17" s="2">
        <v>61.81</v>
      </c>
      <c r="Y17" s="2">
        <v>60.982407407407408</v>
      </c>
      <c r="AA17" s="1">
        <v>86</v>
      </c>
      <c r="AB17" s="2">
        <v>62</v>
      </c>
      <c r="AD17" s="136">
        <v>86</v>
      </c>
      <c r="AE17" s="136">
        <v>61.89</v>
      </c>
      <c r="AF17" s="136">
        <v>61.82</v>
      </c>
    </row>
    <row r="18" spans="2:32" x14ac:dyDescent="0.3">
      <c r="B18" s="1">
        <v>85</v>
      </c>
      <c r="C18" s="2">
        <v>61.65</v>
      </c>
      <c r="D18" s="2">
        <v>61.48</v>
      </c>
      <c r="E18" s="2">
        <v>60.470370370370375</v>
      </c>
      <c r="G18" s="1">
        <v>85</v>
      </c>
      <c r="H18" s="2">
        <v>61.64</v>
      </c>
      <c r="I18" s="2">
        <v>61.47</v>
      </c>
      <c r="J18" s="4">
        <v>60.47</v>
      </c>
      <c r="K18" s="5"/>
      <c r="L18" s="6">
        <v>85</v>
      </c>
      <c r="M18" s="2">
        <v>62.55</v>
      </c>
      <c r="N18" s="2">
        <v>62.57</v>
      </c>
      <c r="O18" s="2">
        <v>60.470370370370375</v>
      </c>
      <c r="Q18" s="1">
        <v>85</v>
      </c>
      <c r="R18" s="2">
        <v>61.58</v>
      </c>
      <c r="S18" s="2">
        <v>61.48</v>
      </c>
      <c r="T18" s="2">
        <v>60.470370370370375</v>
      </c>
      <c r="V18" s="1">
        <v>85</v>
      </c>
      <c r="W18" s="2">
        <v>61.65</v>
      </c>
      <c r="X18" s="2">
        <v>61.48</v>
      </c>
      <c r="Y18" s="2">
        <v>60.470370370370375</v>
      </c>
      <c r="AA18" s="1">
        <v>85</v>
      </c>
      <c r="AB18" s="2">
        <v>61.63</v>
      </c>
      <c r="AD18" s="136">
        <v>85</v>
      </c>
      <c r="AE18" s="136">
        <v>61.64</v>
      </c>
      <c r="AF18" s="136">
        <v>61.47</v>
      </c>
    </row>
    <row r="19" spans="2:32" x14ac:dyDescent="0.3">
      <c r="B19" s="1">
        <v>84</v>
      </c>
      <c r="C19" s="2">
        <v>61.39</v>
      </c>
      <c r="D19" s="2">
        <v>61.15</v>
      </c>
      <c r="E19" s="2">
        <v>59.754629629629626</v>
      </c>
      <c r="G19" s="1">
        <v>84</v>
      </c>
      <c r="H19" s="2">
        <v>61.38</v>
      </c>
      <c r="I19" s="2">
        <v>61.14</v>
      </c>
      <c r="J19" s="4">
        <v>59.75</v>
      </c>
      <c r="K19" s="5"/>
      <c r="L19" s="6">
        <v>84</v>
      </c>
      <c r="M19" s="2">
        <v>62.28</v>
      </c>
      <c r="N19" s="2">
        <v>62.25</v>
      </c>
      <c r="O19" s="2">
        <v>59.754629629629626</v>
      </c>
      <c r="Q19" s="1">
        <v>84</v>
      </c>
      <c r="R19" s="2">
        <v>61.31</v>
      </c>
      <c r="S19" s="2">
        <v>61.15</v>
      </c>
      <c r="T19" s="2">
        <v>59.754629629629626</v>
      </c>
      <c r="V19" s="1">
        <v>84</v>
      </c>
      <c r="W19" s="2">
        <v>61.37</v>
      </c>
      <c r="X19" s="2">
        <v>61.16</v>
      </c>
      <c r="Y19" s="2">
        <v>59.754629629629626</v>
      </c>
      <c r="AA19" s="1">
        <v>84</v>
      </c>
      <c r="AB19" s="2">
        <v>61.38</v>
      </c>
      <c r="AD19" s="136">
        <v>84</v>
      </c>
      <c r="AE19" s="136">
        <v>61.38</v>
      </c>
      <c r="AF19" s="136">
        <v>61.14</v>
      </c>
    </row>
    <row r="20" spans="2:32" x14ac:dyDescent="0.3">
      <c r="B20" s="1">
        <v>83</v>
      </c>
      <c r="C20" s="2">
        <v>61.11</v>
      </c>
      <c r="D20" s="2">
        <v>60.8</v>
      </c>
      <c r="E20" s="2">
        <v>59.057407407407403</v>
      </c>
      <c r="G20" s="1">
        <v>83</v>
      </c>
      <c r="H20" s="2">
        <v>61.1</v>
      </c>
      <c r="I20" s="2">
        <v>60.8</v>
      </c>
      <c r="J20" s="4">
        <v>59.05</v>
      </c>
      <c r="K20" s="5"/>
      <c r="L20" s="6">
        <v>83</v>
      </c>
      <c r="M20" s="2">
        <v>62.01</v>
      </c>
      <c r="N20" s="2">
        <v>61.9</v>
      </c>
      <c r="O20" s="2">
        <v>59.057407407407403</v>
      </c>
      <c r="Q20" s="1">
        <v>83</v>
      </c>
      <c r="R20" s="2">
        <v>61.04</v>
      </c>
      <c r="S20" s="2">
        <v>60.8</v>
      </c>
      <c r="T20" s="2">
        <v>59.057407407407403</v>
      </c>
      <c r="V20" s="1">
        <v>83</v>
      </c>
      <c r="W20" s="2">
        <v>61.1</v>
      </c>
      <c r="X20" s="2">
        <v>60.79</v>
      </c>
      <c r="Y20" s="2">
        <v>59.057407407407403</v>
      </c>
      <c r="AA20" s="1">
        <v>83</v>
      </c>
      <c r="AB20" s="2">
        <v>61</v>
      </c>
      <c r="AD20" s="136">
        <v>83</v>
      </c>
      <c r="AE20" s="136">
        <v>61.1</v>
      </c>
      <c r="AF20" s="136">
        <v>60.8</v>
      </c>
    </row>
    <row r="21" spans="2:32" x14ac:dyDescent="0.3">
      <c r="B21" s="1">
        <v>82</v>
      </c>
      <c r="C21" s="2">
        <v>60.8</v>
      </c>
      <c r="D21" s="2">
        <v>60.49</v>
      </c>
      <c r="E21" s="2">
        <v>58.276851851851838</v>
      </c>
      <c r="G21" s="1">
        <v>82</v>
      </c>
      <c r="H21" s="2">
        <v>60.79</v>
      </c>
      <c r="I21" s="2">
        <v>60.48</v>
      </c>
      <c r="J21" s="4">
        <v>58.27</v>
      </c>
      <c r="K21" s="5"/>
      <c r="L21" s="6">
        <v>82</v>
      </c>
      <c r="M21" s="2">
        <v>61.69</v>
      </c>
      <c r="N21" s="2">
        <v>61.59</v>
      </c>
      <c r="O21" s="2">
        <v>58.276851851851838</v>
      </c>
      <c r="Q21" s="1">
        <v>82</v>
      </c>
      <c r="R21" s="2">
        <v>60.74</v>
      </c>
      <c r="S21" s="2">
        <v>60.49</v>
      </c>
      <c r="T21" s="2">
        <v>58.276851851851838</v>
      </c>
      <c r="V21" s="1">
        <v>82</v>
      </c>
      <c r="W21" s="2">
        <v>60.8</v>
      </c>
      <c r="X21" s="2">
        <v>60.49</v>
      </c>
      <c r="Y21" s="2">
        <v>58.276851851851838</v>
      </c>
      <c r="AA21" s="1">
        <v>82</v>
      </c>
      <c r="AB21" s="2">
        <v>60.5</v>
      </c>
      <c r="AD21" s="136">
        <v>82</v>
      </c>
      <c r="AE21" s="136">
        <v>60.79</v>
      </c>
      <c r="AF21" s="136">
        <v>60.48</v>
      </c>
    </row>
    <row r="22" spans="2:32" x14ac:dyDescent="0.3">
      <c r="B22" s="1">
        <v>81</v>
      </c>
      <c r="C22" s="2">
        <v>60.47</v>
      </c>
      <c r="D22" s="2">
        <v>60.21</v>
      </c>
      <c r="E22" s="2">
        <v>57.87962962962964</v>
      </c>
      <c r="G22" s="1">
        <v>81</v>
      </c>
      <c r="H22" s="2">
        <v>60.46</v>
      </c>
      <c r="I22" s="2">
        <v>60.21</v>
      </c>
      <c r="J22" s="4">
        <v>57.87</v>
      </c>
      <c r="K22" s="5"/>
      <c r="L22" s="6">
        <v>81</v>
      </c>
      <c r="M22" s="2">
        <v>61.37</v>
      </c>
      <c r="N22" s="2">
        <v>61.31</v>
      </c>
      <c r="O22" s="2">
        <v>57.87962962962964</v>
      </c>
      <c r="Q22" s="1">
        <v>81</v>
      </c>
      <c r="R22" s="2">
        <v>60.43</v>
      </c>
      <c r="S22" s="2">
        <v>60.2</v>
      </c>
      <c r="T22" s="2">
        <v>57.87962962962964</v>
      </c>
      <c r="V22" s="1">
        <v>81</v>
      </c>
      <c r="W22" s="2">
        <v>60.47</v>
      </c>
      <c r="X22" s="2">
        <v>60.23</v>
      </c>
      <c r="Y22" s="2">
        <v>57.87962962962964</v>
      </c>
      <c r="AA22" s="1">
        <v>81</v>
      </c>
      <c r="AB22" s="2">
        <v>60.25</v>
      </c>
      <c r="AD22" s="136">
        <v>81</v>
      </c>
      <c r="AE22" s="136">
        <v>60.46</v>
      </c>
      <c r="AF22" s="136">
        <v>60.21</v>
      </c>
    </row>
    <row r="23" spans="2:32" x14ac:dyDescent="0.3">
      <c r="B23" s="1">
        <v>80</v>
      </c>
      <c r="C23" s="2">
        <v>60.16</v>
      </c>
      <c r="D23" s="2">
        <v>59.92</v>
      </c>
      <c r="E23" s="2">
        <v>57.577645502645495</v>
      </c>
      <c r="G23" s="1">
        <v>80</v>
      </c>
      <c r="H23" s="2">
        <v>60.15</v>
      </c>
      <c r="I23" s="2">
        <v>59.91</v>
      </c>
      <c r="J23" s="4">
        <v>57.57</v>
      </c>
      <c r="K23" s="5"/>
      <c r="L23" s="6">
        <v>80</v>
      </c>
      <c r="M23" s="2">
        <v>61.06</v>
      </c>
      <c r="N23" s="2">
        <v>61.01</v>
      </c>
      <c r="O23" s="2">
        <v>57.577645502645495</v>
      </c>
      <c r="Q23" s="1">
        <v>80</v>
      </c>
      <c r="R23" s="2">
        <v>60.14</v>
      </c>
      <c r="S23" s="2">
        <v>59.89</v>
      </c>
      <c r="T23" s="2">
        <v>57.577645502645495</v>
      </c>
      <c r="V23" s="1">
        <v>80</v>
      </c>
      <c r="W23" s="2">
        <v>60.17</v>
      </c>
      <c r="X23" s="2">
        <v>59.93</v>
      </c>
      <c r="Y23" s="2">
        <v>57.577645502645495</v>
      </c>
      <c r="AA23" s="1">
        <v>80</v>
      </c>
      <c r="AB23" s="2">
        <v>60</v>
      </c>
      <c r="AD23" s="136">
        <v>80</v>
      </c>
      <c r="AE23" s="136">
        <v>60.15</v>
      </c>
      <c r="AF23" s="136">
        <v>59.91</v>
      </c>
    </row>
    <row r="24" spans="2:32" x14ac:dyDescent="0.3">
      <c r="B24" s="1">
        <v>79</v>
      </c>
      <c r="C24" s="2">
        <v>59.91</v>
      </c>
      <c r="D24" s="2">
        <v>59.62</v>
      </c>
      <c r="E24" s="2">
        <v>57.275661375661379</v>
      </c>
      <c r="G24" s="1">
        <v>79</v>
      </c>
      <c r="H24" s="2">
        <v>59.9</v>
      </c>
      <c r="I24" s="2">
        <v>59.61</v>
      </c>
      <c r="J24" s="4">
        <v>57.27</v>
      </c>
      <c r="K24" s="5"/>
      <c r="L24" s="6">
        <v>79</v>
      </c>
      <c r="M24" s="2">
        <v>60.8</v>
      </c>
      <c r="N24" s="2">
        <v>60.72</v>
      </c>
      <c r="O24" s="2">
        <v>57.275661375661379</v>
      </c>
      <c r="Q24" s="1">
        <v>79</v>
      </c>
      <c r="R24" s="2">
        <v>59.9</v>
      </c>
      <c r="S24" s="2">
        <v>59.59</v>
      </c>
      <c r="T24" s="2">
        <v>57.275661375661379</v>
      </c>
      <c r="V24" s="1">
        <v>79</v>
      </c>
      <c r="W24" s="2">
        <v>59.9</v>
      </c>
      <c r="X24" s="2">
        <v>59.6</v>
      </c>
      <c r="Y24" s="2">
        <v>57.275661375661379</v>
      </c>
      <c r="AA24" s="1">
        <v>79</v>
      </c>
      <c r="AB24" s="2">
        <v>59.63</v>
      </c>
      <c r="AD24" s="136">
        <v>79</v>
      </c>
      <c r="AE24" s="136">
        <v>59.9</v>
      </c>
      <c r="AF24" s="136">
        <v>59.61</v>
      </c>
    </row>
    <row r="25" spans="2:32" x14ac:dyDescent="0.3">
      <c r="B25" s="1">
        <v>78</v>
      </c>
      <c r="C25" s="2">
        <v>59.65</v>
      </c>
      <c r="D25" s="2">
        <v>59.32</v>
      </c>
      <c r="E25" s="2">
        <v>56.92738095238095</v>
      </c>
      <c r="G25" s="1">
        <v>78</v>
      </c>
      <c r="H25" s="2">
        <v>59.64</v>
      </c>
      <c r="I25" s="2">
        <v>59.32</v>
      </c>
      <c r="J25" s="4">
        <v>56.92</v>
      </c>
      <c r="K25" s="5"/>
      <c r="L25" s="6">
        <v>78</v>
      </c>
      <c r="M25" s="2">
        <v>60.55</v>
      </c>
      <c r="N25" s="2">
        <v>60.42</v>
      </c>
      <c r="O25" s="2">
        <v>56.92738095238095</v>
      </c>
      <c r="Q25" s="1">
        <v>78</v>
      </c>
      <c r="R25" s="2">
        <v>59.64</v>
      </c>
      <c r="S25" s="2">
        <v>59.28</v>
      </c>
      <c r="T25" s="2">
        <v>56.92738095238095</v>
      </c>
      <c r="V25" s="1">
        <v>78</v>
      </c>
      <c r="W25" s="2">
        <v>59.64</v>
      </c>
      <c r="X25" s="2">
        <v>59.31</v>
      </c>
      <c r="Y25" s="2">
        <v>56.92738095238095</v>
      </c>
      <c r="AA25" s="1">
        <v>78</v>
      </c>
      <c r="AB25" s="2">
        <v>59.38</v>
      </c>
      <c r="AD25" s="136">
        <v>78</v>
      </c>
      <c r="AE25" s="136">
        <v>59.64</v>
      </c>
      <c r="AF25" s="136">
        <v>59.32</v>
      </c>
    </row>
    <row r="26" spans="2:32" x14ac:dyDescent="0.3">
      <c r="B26" s="1">
        <v>77</v>
      </c>
      <c r="C26" s="2">
        <v>59.34</v>
      </c>
      <c r="D26" s="2">
        <v>59.01</v>
      </c>
      <c r="E26" s="2">
        <v>56.658730158730158</v>
      </c>
      <c r="G26" s="1">
        <v>77</v>
      </c>
      <c r="H26" s="2">
        <v>59.34</v>
      </c>
      <c r="I26" s="2">
        <v>59.01</v>
      </c>
      <c r="J26" s="4">
        <v>56.65</v>
      </c>
      <c r="K26" s="5"/>
      <c r="L26" s="6">
        <v>77</v>
      </c>
      <c r="M26" s="2">
        <v>60.24</v>
      </c>
      <c r="N26" s="2">
        <v>60.11</v>
      </c>
      <c r="O26" s="2">
        <v>56.658730158730158</v>
      </c>
      <c r="Q26" s="1">
        <v>77</v>
      </c>
      <c r="R26" s="2">
        <v>59.33</v>
      </c>
      <c r="S26" s="2">
        <v>58.99</v>
      </c>
      <c r="T26" s="2">
        <v>56.658730158730158</v>
      </c>
      <c r="V26" s="1">
        <v>77</v>
      </c>
      <c r="W26" s="2">
        <v>59.34</v>
      </c>
      <c r="X26" s="2">
        <v>59.03</v>
      </c>
      <c r="Y26" s="2">
        <v>56.658730158730158</v>
      </c>
      <c r="AA26" s="1">
        <v>77</v>
      </c>
      <c r="AB26" s="2">
        <v>59.25</v>
      </c>
      <c r="AD26" s="136">
        <v>77</v>
      </c>
      <c r="AE26" s="136">
        <v>59.34</v>
      </c>
      <c r="AF26" s="136">
        <v>59.01</v>
      </c>
    </row>
    <row r="27" spans="2:32" x14ac:dyDescent="0.3">
      <c r="B27" s="1">
        <v>76</v>
      </c>
      <c r="C27" s="2">
        <v>59.03</v>
      </c>
      <c r="D27" s="2">
        <v>58.7</v>
      </c>
      <c r="E27" s="2">
        <v>56.417857142857144</v>
      </c>
      <c r="G27" s="1">
        <v>76</v>
      </c>
      <c r="H27" s="2">
        <v>59.03</v>
      </c>
      <c r="I27" s="2">
        <v>58.69</v>
      </c>
      <c r="J27" s="4">
        <v>56.41</v>
      </c>
      <c r="K27" s="5"/>
      <c r="L27" s="6">
        <v>76</v>
      </c>
      <c r="M27" s="2">
        <v>59.93</v>
      </c>
      <c r="N27" s="2">
        <v>59.8</v>
      </c>
      <c r="O27" s="2">
        <v>56.417857142857144</v>
      </c>
      <c r="Q27" s="1">
        <v>76</v>
      </c>
      <c r="R27" s="2">
        <v>59.02</v>
      </c>
      <c r="S27" s="2">
        <v>58.7</v>
      </c>
      <c r="T27" s="2">
        <v>56.417857142857144</v>
      </c>
      <c r="V27" s="1">
        <v>76</v>
      </c>
      <c r="W27" s="2">
        <v>59.03</v>
      </c>
      <c r="X27" s="2">
        <v>58.7</v>
      </c>
      <c r="Y27" s="2">
        <v>56.417857142857144</v>
      </c>
      <c r="AA27" s="1">
        <v>76</v>
      </c>
      <c r="AB27" s="2">
        <v>59</v>
      </c>
      <c r="AD27" s="136">
        <v>76</v>
      </c>
      <c r="AE27" s="136">
        <v>59.03</v>
      </c>
      <c r="AF27" s="136">
        <v>58.69</v>
      </c>
    </row>
    <row r="28" spans="2:32" x14ac:dyDescent="0.3">
      <c r="B28" s="1">
        <v>75</v>
      </c>
      <c r="C28" s="2">
        <v>58.76</v>
      </c>
      <c r="D28" s="2">
        <v>58.42</v>
      </c>
      <c r="E28" s="2">
        <v>56.127777777777766</v>
      </c>
      <c r="G28" s="1">
        <v>75</v>
      </c>
      <c r="H28" s="2">
        <v>58.75</v>
      </c>
      <c r="I28" s="2">
        <v>58.42</v>
      </c>
      <c r="J28" s="4">
        <v>56.12</v>
      </c>
      <c r="K28" s="5"/>
      <c r="L28" s="6">
        <v>75</v>
      </c>
      <c r="M28" s="2">
        <v>59.65</v>
      </c>
      <c r="N28" s="2">
        <v>59.52</v>
      </c>
      <c r="O28" s="2">
        <v>56.127777777777766</v>
      </c>
      <c r="Q28" s="1">
        <v>75</v>
      </c>
      <c r="R28" s="2">
        <v>58.74</v>
      </c>
      <c r="S28" s="2">
        <v>58.42</v>
      </c>
      <c r="T28" s="2">
        <v>56.127777777777766</v>
      </c>
      <c r="V28" s="1">
        <v>75</v>
      </c>
      <c r="W28" s="2">
        <v>58.76</v>
      </c>
      <c r="X28" s="2">
        <v>58.41</v>
      </c>
      <c r="Y28" s="2">
        <v>56.127777777777766</v>
      </c>
      <c r="AA28" s="1">
        <v>75</v>
      </c>
      <c r="AB28" s="2">
        <v>58.63</v>
      </c>
      <c r="AD28" s="136">
        <v>75</v>
      </c>
      <c r="AE28" s="136">
        <v>58.75</v>
      </c>
      <c r="AF28" s="136">
        <v>58.42</v>
      </c>
    </row>
    <row r="29" spans="2:32" x14ac:dyDescent="0.3">
      <c r="B29" s="1">
        <v>74</v>
      </c>
      <c r="C29" s="2">
        <v>58.48</v>
      </c>
      <c r="D29" s="2">
        <v>58.18</v>
      </c>
      <c r="E29" s="2">
        <v>55.889550264550266</v>
      </c>
      <c r="G29" s="1">
        <v>74</v>
      </c>
      <c r="H29" s="2">
        <v>58.48</v>
      </c>
      <c r="I29" s="2">
        <v>58.17</v>
      </c>
      <c r="J29" s="4">
        <v>55.88</v>
      </c>
      <c r="K29" s="5"/>
      <c r="L29" s="6">
        <v>74</v>
      </c>
      <c r="M29" s="2">
        <v>59.38</v>
      </c>
      <c r="N29" s="2">
        <v>59.27</v>
      </c>
      <c r="O29" s="2">
        <v>55.889550264550266</v>
      </c>
      <c r="Q29" s="1">
        <v>74</v>
      </c>
      <c r="R29" s="2">
        <v>58.45</v>
      </c>
      <c r="S29" s="2">
        <v>58.18</v>
      </c>
      <c r="T29" s="2">
        <v>55.889550264550266</v>
      </c>
      <c r="V29" s="1">
        <v>74</v>
      </c>
      <c r="W29" s="2">
        <v>58.49</v>
      </c>
      <c r="X29" s="2">
        <v>58.18</v>
      </c>
      <c r="Y29" s="2">
        <v>55.889550264550266</v>
      </c>
      <c r="AA29" s="1">
        <v>74</v>
      </c>
      <c r="AB29" s="2">
        <v>58.5</v>
      </c>
      <c r="AD29" s="136">
        <v>74</v>
      </c>
      <c r="AE29" s="136">
        <v>58.48</v>
      </c>
      <c r="AF29" s="136">
        <v>58.17</v>
      </c>
    </row>
    <row r="30" spans="2:32" x14ac:dyDescent="0.3">
      <c r="B30" s="1">
        <v>73</v>
      </c>
      <c r="C30" s="2">
        <v>58.2</v>
      </c>
      <c r="D30" s="2">
        <v>57.9</v>
      </c>
      <c r="E30" s="2">
        <v>55.630158730158733</v>
      </c>
      <c r="G30" s="1">
        <v>73</v>
      </c>
      <c r="H30" s="2">
        <v>58.19</v>
      </c>
      <c r="I30" s="2">
        <v>57.89</v>
      </c>
      <c r="J30" s="4">
        <v>55.63</v>
      </c>
      <c r="K30" s="5"/>
      <c r="L30" s="6">
        <v>73</v>
      </c>
      <c r="M30" s="2">
        <v>59.1</v>
      </c>
      <c r="N30" s="2">
        <v>58.99</v>
      </c>
      <c r="O30" s="2">
        <v>55.630158730158733</v>
      </c>
      <c r="Q30" s="1">
        <v>73</v>
      </c>
      <c r="R30" s="2">
        <v>58.17</v>
      </c>
      <c r="S30" s="2">
        <v>57.9</v>
      </c>
      <c r="T30" s="2">
        <v>55.630158730158733</v>
      </c>
      <c r="V30" s="1">
        <v>73</v>
      </c>
      <c r="W30" s="2">
        <v>58.2</v>
      </c>
      <c r="X30" s="2">
        <v>57.9</v>
      </c>
      <c r="Y30" s="2">
        <v>55.630158730158733</v>
      </c>
      <c r="AA30" s="1">
        <v>73</v>
      </c>
      <c r="AB30" s="2">
        <v>58</v>
      </c>
      <c r="AD30" s="136">
        <v>73</v>
      </c>
      <c r="AE30" s="136">
        <v>58.19</v>
      </c>
      <c r="AF30" s="136">
        <v>57.89</v>
      </c>
    </row>
    <row r="31" spans="2:32" x14ac:dyDescent="0.3">
      <c r="B31" s="1">
        <v>72</v>
      </c>
      <c r="C31" s="2">
        <v>57.93</v>
      </c>
      <c r="D31" s="2">
        <v>57.61</v>
      </c>
      <c r="E31" s="2">
        <v>55.372486772486766</v>
      </c>
      <c r="G31" s="1">
        <v>72</v>
      </c>
      <c r="H31" s="2">
        <v>57.93</v>
      </c>
      <c r="I31" s="2">
        <v>57.6</v>
      </c>
      <c r="J31" s="4">
        <v>55.37</v>
      </c>
      <c r="K31" s="5"/>
      <c r="L31" s="6">
        <v>72</v>
      </c>
      <c r="M31" s="2">
        <v>58.83</v>
      </c>
      <c r="N31" s="2">
        <v>58.71</v>
      </c>
      <c r="O31" s="2">
        <v>55.372486772486766</v>
      </c>
      <c r="Q31" s="1">
        <v>72</v>
      </c>
      <c r="R31" s="2">
        <v>57.91</v>
      </c>
      <c r="S31" s="2">
        <v>57.61</v>
      </c>
      <c r="T31" s="2">
        <v>55.372486772486766</v>
      </c>
      <c r="V31" s="1">
        <v>72</v>
      </c>
      <c r="W31" s="2">
        <v>57.92</v>
      </c>
      <c r="X31" s="2">
        <v>57.6</v>
      </c>
      <c r="Y31" s="2">
        <v>55.372486772486766</v>
      </c>
      <c r="AA31" s="1">
        <v>72</v>
      </c>
      <c r="AB31" s="2">
        <v>57.75</v>
      </c>
      <c r="AD31" s="136">
        <v>72</v>
      </c>
      <c r="AE31" s="136">
        <v>57.93</v>
      </c>
      <c r="AF31" s="136">
        <v>57.6</v>
      </c>
    </row>
    <row r="32" spans="2:32" x14ac:dyDescent="0.3">
      <c r="B32" s="1">
        <v>71</v>
      </c>
      <c r="C32" s="2">
        <v>57.67</v>
      </c>
      <c r="D32" s="2">
        <v>57.28</v>
      </c>
      <c r="E32" s="2">
        <v>55.124074074074066</v>
      </c>
      <c r="G32" s="1">
        <v>71</v>
      </c>
      <c r="H32" s="2">
        <v>57.66</v>
      </c>
      <c r="I32" s="2">
        <v>57.27</v>
      </c>
      <c r="J32" s="4">
        <v>55.12</v>
      </c>
      <c r="K32" s="5"/>
      <c r="L32" s="6">
        <v>71</v>
      </c>
      <c r="M32" s="2">
        <v>58.57</v>
      </c>
      <c r="N32" s="2">
        <v>58.37</v>
      </c>
      <c r="O32" s="2">
        <v>55.124074074074066</v>
      </c>
      <c r="Q32" s="1">
        <v>71</v>
      </c>
      <c r="R32" s="2">
        <v>57.64</v>
      </c>
      <c r="S32" s="2">
        <v>57.28</v>
      </c>
      <c r="T32" s="2">
        <v>55.124074074074066</v>
      </c>
      <c r="V32" s="1">
        <v>71</v>
      </c>
      <c r="W32" s="2">
        <v>57.67</v>
      </c>
      <c r="X32" s="2">
        <v>57.28</v>
      </c>
      <c r="Y32" s="2">
        <v>55.124074074074066</v>
      </c>
      <c r="AA32" s="1">
        <v>71</v>
      </c>
      <c r="AB32" s="2">
        <v>57.25</v>
      </c>
      <c r="AD32" s="136">
        <v>71</v>
      </c>
      <c r="AE32" s="136">
        <v>57.66</v>
      </c>
      <c r="AF32" s="136">
        <v>57.27</v>
      </c>
    </row>
    <row r="33" spans="2:32" x14ac:dyDescent="0.3">
      <c r="B33" s="1">
        <v>70</v>
      </c>
      <c r="C33" s="2">
        <v>57.38</v>
      </c>
      <c r="D33" s="2">
        <v>56.91</v>
      </c>
      <c r="E33" s="2">
        <v>54.820105820105816</v>
      </c>
      <c r="G33" s="1">
        <v>70</v>
      </c>
      <c r="H33" s="2">
        <v>57.38</v>
      </c>
      <c r="I33" s="2">
        <v>56.9</v>
      </c>
      <c r="J33" s="4">
        <v>54.82</v>
      </c>
      <c r="K33" s="5"/>
      <c r="L33" s="6">
        <v>70</v>
      </c>
      <c r="M33" s="2">
        <v>58.28</v>
      </c>
      <c r="N33" s="2">
        <v>58.01</v>
      </c>
      <c r="O33" s="2">
        <v>54.820105820105816</v>
      </c>
      <c r="Q33" s="1">
        <v>70</v>
      </c>
      <c r="R33" s="2">
        <v>57.36</v>
      </c>
      <c r="S33" s="2">
        <v>56.91</v>
      </c>
      <c r="T33" s="2">
        <v>54.820105820105816</v>
      </c>
      <c r="V33" s="1">
        <v>70</v>
      </c>
      <c r="W33" s="2">
        <v>57.38</v>
      </c>
      <c r="X33" s="2">
        <v>56.91</v>
      </c>
      <c r="Y33" s="2">
        <v>54.820105820105816</v>
      </c>
      <c r="AA33" s="1">
        <v>70</v>
      </c>
      <c r="AB33" s="2">
        <v>57</v>
      </c>
      <c r="AD33" s="136">
        <v>70</v>
      </c>
      <c r="AE33" s="136">
        <v>57.38</v>
      </c>
      <c r="AF33" s="136">
        <v>56.9</v>
      </c>
    </row>
    <row r="34" spans="2:32" x14ac:dyDescent="0.3">
      <c r="B34" s="1">
        <v>69</v>
      </c>
      <c r="C34" s="2">
        <v>57.08</v>
      </c>
      <c r="D34" s="2">
        <v>56.57</v>
      </c>
      <c r="E34" s="2">
        <v>54.578042328042322</v>
      </c>
      <c r="G34" s="1">
        <v>69</v>
      </c>
      <c r="H34" s="2">
        <v>57.07</v>
      </c>
      <c r="I34" s="2">
        <v>56.56</v>
      </c>
      <c r="J34" s="4">
        <v>54.57</v>
      </c>
      <c r="K34" s="5"/>
      <c r="L34" s="6">
        <v>69</v>
      </c>
      <c r="M34" s="2">
        <v>57.98</v>
      </c>
      <c r="N34" s="2">
        <v>57.67</v>
      </c>
      <c r="O34" s="2">
        <v>54.578042328042322</v>
      </c>
      <c r="Q34" s="1">
        <v>69</v>
      </c>
      <c r="R34" s="2">
        <v>57.06</v>
      </c>
      <c r="S34" s="2">
        <v>56.57</v>
      </c>
      <c r="T34" s="2">
        <v>54.578042328042322</v>
      </c>
      <c r="V34" s="1">
        <v>69</v>
      </c>
      <c r="W34" s="2">
        <v>57.07</v>
      </c>
      <c r="X34" s="2">
        <v>56.58</v>
      </c>
      <c r="Y34" s="2">
        <v>54.578042328042322</v>
      </c>
      <c r="AA34" s="1">
        <v>69</v>
      </c>
      <c r="AB34" s="2">
        <v>56.88</v>
      </c>
      <c r="AD34" s="136">
        <v>69</v>
      </c>
      <c r="AE34" s="136">
        <v>57.07</v>
      </c>
      <c r="AF34" s="136">
        <v>56.56</v>
      </c>
    </row>
    <row r="35" spans="2:32" x14ac:dyDescent="0.3">
      <c r="B35" s="1">
        <v>68</v>
      </c>
      <c r="C35" s="2">
        <v>56.73</v>
      </c>
      <c r="D35" s="2">
        <v>56.27</v>
      </c>
      <c r="E35" s="2">
        <v>54.310185185185183</v>
      </c>
      <c r="G35" s="1">
        <v>68</v>
      </c>
      <c r="H35" s="2">
        <v>56.73</v>
      </c>
      <c r="I35" s="2">
        <v>56.26</v>
      </c>
      <c r="J35" s="4">
        <v>54.31</v>
      </c>
      <c r="K35" s="5"/>
      <c r="L35" s="6">
        <v>68</v>
      </c>
      <c r="M35" s="2">
        <v>57.63</v>
      </c>
      <c r="N35" s="2">
        <v>57.37</v>
      </c>
      <c r="O35" s="2">
        <v>54.310185185185183</v>
      </c>
      <c r="Q35" s="1">
        <v>68</v>
      </c>
      <c r="R35" s="2">
        <v>56.73</v>
      </c>
      <c r="S35" s="2">
        <v>56.27</v>
      </c>
      <c r="T35" s="2">
        <v>54.310185185185183</v>
      </c>
      <c r="V35" s="1">
        <v>68</v>
      </c>
      <c r="W35" s="2">
        <v>56.73</v>
      </c>
      <c r="X35" s="2">
        <v>56.26</v>
      </c>
      <c r="Y35" s="2">
        <v>54.310185185185183</v>
      </c>
      <c r="AA35" s="1">
        <v>68</v>
      </c>
      <c r="AB35" s="2">
        <v>56.63</v>
      </c>
      <c r="AD35" s="136">
        <v>68</v>
      </c>
      <c r="AE35" s="136">
        <v>56.73</v>
      </c>
      <c r="AF35" s="136">
        <v>56.26</v>
      </c>
    </row>
    <row r="36" spans="2:32" x14ac:dyDescent="0.3">
      <c r="B36" s="1">
        <v>67</v>
      </c>
      <c r="C36" s="2">
        <v>56.37</v>
      </c>
      <c r="D36" s="2">
        <v>55.99</v>
      </c>
      <c r="E36" s="2">
        <v>54.066402116402116</v>
      </c>
      <c r="G36" s="1">
        <v>67</v>
      </c>
      <c r="H36" s="2">
        <v>56.36</v>
      </c>
      <c r="I36" s="2">
        <v>55.98</v>
      </c>
      <c r="J36" s="4">
        <v>54.06</v>
      </c>
      <c r="K36" s="5"/>
      <c r="L36" s="6">
        <v>67</v>
      </c>
      <c r="M36" s="2">
        <v>57.27</v>
      </c>
      <c r="N36" s="2">
        <v>57.09</v>
      </c>
      <c r="O36" s="2">
        <v>54.066402116402116</v>
      </c>
      <c r="Q36" s="1">
        <v>67</v>
      </c>
      <c r="R36" s="2">
        <v>56.36</v>
      </c>
      <c r="S36" s="2">
        <v>55.99</v>
      </c>
      <c r="T36" s="2">
        <v>54.066402116402116</v>
      </c>
      <c r="V36" s="1">
        <v>67</v>
      </c>
      <c r="W36" s="2">
        <v>56.38</v>
      </c>
      <c r="X36" s="2">
        <v>55.99</v>
      </c>
      <c r="Y36" s="2">
        <v>54.066402116402116</v>
      </c>
      <c r="AA36" s="1">
        <v>67</v>
      </c>
      <c r="AB36" s="2">
        <v>56.13</v>
      </c>
      <c r="AD36" s="136">
        <v>67</v>
      </c>
      <c r="AE36" s="136">
        <v>56.36</v>
      </c>
      <c r="AF36" s="136">
        <v>55.98</v>
      </c>
    </row>
    <row r="37" spans="2:32" x14ac:dyDescent="0.3">
      <c r="B37" s="1">
        <v>66</v>
      </c>
      <c r="C37" s="2">
        <v>56.04</v>
      </c>
      <c r="D37" s="2">
        <v>55.71</v>
      </c>
      <c r="E37" s="2">
        <v>53.813359788359783</v>
      </c>
      <c r="G37" s="1">
        <v>66</v>
      </c>
      <c r="H37" s="2">
        <v>56.03</v>
      </c>
      <c r="I37" s="2">
        <v>55.71</v>
      </c>
      <c r="J37" s="4">
        <v>53.81</v>
      </c>
      <c r="K37" s="5"/>
      <c r="L37" s="6">
        <v>66</v>
      </c>
      <c r="M37" s="2">
        <v>56.94</v>
      </c>
      <c r="N37" s="2">
        <v>56.81</v>
      </c>
      <c r="O37" s="2">
        <v>53.813359788359783</v>
      </c>
      <c r="Q37" s="1">
        <v>66</v>
      </c>
      <c r="R37" s="2">
        <v>56.02</v>
      </c>
      <c r="S37" s="2">
        <v>55.71</v>
      </c>
      <c r="T37" s="2">
        <v>53.813359788359783</v>
      </c>
      <c r="V37" s="1">
        <v>66</v>
      </c>
      <c r="W37" s="2">
        <v>56.04</v>
      </c>
      <c r="X37" s="2">
        <v>55.71</v>
      </c>
      <c r="Y37" s="2">
        <v>53.813359788359783</v>
      </c>
      <c r="AA37" s="1">
        <v>66</v>
      </c>
      <c r="AB37" s="2">
        <v>56</v>
      </c>
      <c r="AD37" s="136">
        <v>66</v>
      </c>
      <c r="AE37" s="136">
        <v>56.03</v>
      </c>
      <c r="AF37" s="136">
        <v>55.71</v>
      </c>
    </row>
    <row r="38" spans="2:32" x14ac:dyDescent="0.3">
      <c r="B38" s="1">
        <v>65</v>
      </c>
      <c r="C38" s="2">
        <v>55.71</v>
      </c>
      <c r="D38" s="2">
        <v>55.44</v>
      </c>
      <c r="E38" s="2">
        <v>53.560317460317457</v>
      </c>
      <c r="G38" s="1">
        <v>65</v>
      </c>
      <c r="H38" s="2">
        <v>55.71</v>
      </c>
      <c r="I38" s="2">
        <v>55.44</v>
      </c>
      <c r="J38" s="4">
        <v>53.56</v>
      </c>
      <c r="K38" s="5"/>
      <c r="L38" s="6">
        <v>65</v>
      </c>
      <c r="M38" s="2">
        <v>56.61</v>
      </c>
      <c r="N38" s="2">
        <v>56.54</v>
      </c>
      <c r="O38" s="2">
        <v>53.560317460317457</v>
      </c>
      <c r="Q38" s="1">
        <v>65</v>
      </c>
      <c r="R38" s="2">
        <v>55.68</v>
      </c>
      <c r="S38" s="2">
        <v>55.44</v>
      </c>
      <c r="T38" s="2">
        <v>53.560317460317457</v>
      </c>
      <c r="V38" s="1">
        <v>65</v>
      </c>
      <c r="W38" s="2">
        <v>55.7</v>
      </c>
      <c r="X38" s="2">
        <v>55.45</v>
      </c>
      <c r="Y38" s="2">
        <v>53.560317460317457</v>
      </c>
      <c r="AA38" s="1">
        <v>65</v>
      </c>
      <c r="AB38" s="2">
        <v>55.5</v>
      </c>
      <c r="AD38" s="136">
        <v>65</v>
      </c>
      <c r="AE38" s="136">
        <v>55.71</v>
      </c>
      <c r="AF38" s="136">
        <v>55.44</v>
      </c>
    </row>
    <row r="39" spans="2:32" x14ac:dyDescent="0.3">
      <c r="B39" s="1">
        <v>64</v>
      </c>
      <c r="C39" s="2">
        <v>55.4</v>
      </c>
      <c r="D39" s="2">
        <v>55.15</v>
      </c>
      <c r="E39" s="2">
        <v>53.31653439153439</v>
      </c>
      <c r="G39" s="1">
        <v>64</v>
      </c>
      <c r="H39" s="2">
        <v>55.4</v>
      </c>
      <c r="I39" s="2">
        <v>55.14</v>
      </c>
      <c r="J39" s="4">
        <v>53.31</v>
      </c>
      <c r="K39" s="5"/>
      <c r="L39" s="6">
        <v>64</v>
      </c>
      <c r="M39" s="2">
        <v>56.3</v>
      </c>
      <c r="N39" s="2">
        <v>56.25</v>
      </c>
      <c r="O39" s="2">
        <v>53.31653439153439</v>
      </c>
      <c r="Q39" s="1">
        <v>64</v>
      </c>
      <c r="R39" s="2">
        <v>55.36</v>
      </c>
      <c r="S39" s="2">
        <v>55.15</v>
      </c>
      <c r="T39" s="2">
        <v>53.31653439153439</v>
      </c>
      <c r="V39" s="1">
        <v>64</v>
      </c>
      <c r="W39" s="2">
        <v>55.4</v>
      </c>
      <c r="X39" s="2">
        <v>55.15</v>
      </c>
      <c r="Y39" s="2">
        <v>53.31653439153439</v>
      </c>
      <c r="AA39" s="1">
        <v>64</v>
      </c>
      <c r="AB39" s="2">
        <v>55.38</v>
      </c>
      <c r="AD39" s="136">
        <v>64</v>
      </c>
      <c r="AE39" s="136">
        <v>55.4</v>
      </c>
      <c r="AF39" s="136">
        <v>55.14</v>
      </c>
    </row>
    <row r="40" spans="2:32" x14ac:dyDescent="0.3">
      <c r="B40" s="1">
        <v>63</v>
      </c>
      <c r="C40" s="2">
        <v>55.09</v>
      </c>
      <c r="D40" s="2">
        <v>54.85</v>
      </c>
      <c r="E40" s="2">
        <v>53.054232804232804</v>
      </c>
      <c r="G40" s="1">
        <v>63</v>
      </c>
      <c r="H40" s="2">
        <v>55.08</v>
      </c>
      <c r="I40" s="2">
        <v>54.85</v>
      </c>
      <c r="J40" s="4">
        <v>53.05</v>
      </c>
      <c r="K40" s="5"/>
      <c r="L40" s="6">
        <v>63</v>
      </c>
      <c r="M40" s="2">
        <v>55.99</v>
      </c>
      <c r="N40" s="2">
        <v>55.95</v>
      </c>
      <c r="O40" s="2">
        <v>53.054232804232804</v>
      </c>
      <c r="Q40" s="1">
        <v>63</v>
      </c>
      <c r="R40" s="2">
        <v>55.04</v>
      </c>
      <c r="S40" s="2">
        <v>54.85</v>
      </c>
      <c r="T40" s="2">
        <v>53.054232804232804</v>
      </c>
      <c r="V40" s="1">
        <v>63</v>
      </c>
      <c r="W40" s="2">
        <v>55.1</v>
      </c>
      <c r="X40" s="2">
        <v>54.84</v>
      </c>
      <c r="Y40" s="2">
        <v>53.054232804232804</v>
      </c>
      <c r="AA40" s="1">
        <v>63</v>
      </c>
      <c r="AB40" s="2">
        <v>55</v>
      </c>
      <c r="AD40" s="136">
        <v>63</v>
      </c>
      <c r="AE40" s="136">
        <v>55.08</v>
      </c>
      <c r="AF40" s="136">
        <v>54.85</v>
      </c>
    </row>
    <row r="41" spans="2:32" x14ac:dyDescent="0.3">
      <c r="B41" s="1">
        <v>62</v>
      </c>
      <c r="C41" s="2">
        <v>54.79</v>
      </c>
      <c r="D41" s="2">
        <v>54.59</v>
      </c>
      <c r="E41" s="2">
        <v>52.774470899470906</v>
      </c>
      <c r="G41" s="1">
        <v>62</v>
      </c>
      <c r="H41" s="2">
        <v>54.79</v>
      </c>
      <c r="I41" s="2">
        <v>54.58</v>
      </c>
      <c r="J41" s="4">
        <v>52.77</v>
      </c>
      <c r="K41" s="5"/>
      <c r="L41" s="6">
        <v>62</v>
      </c>
      <c r="M41" s="2">
        <v>55.69</v>
      </c>
      <c r="N41" s="2">
        <v>55.69</v>
      </c>
      <c r="O41" s="2">
        <v>52.774470899470906</v>
      </c>
      <c r="Q41" s="1">
        <v>62</v>
      </c>
      <c r="R41" s="2">
        <v>54.73</v>
      </c>
      <c r="S41" s="2">
        <v>54.59</v>
      </c>
      <c r="T41" s="2">
        <v>52.774470899470906</v>
      </c>
      <c r="V41" s="1">
        <v>62</v>
      </c>
      <c r="W41" s="2">
        <v>54.79</v>
      </c>
      <c r="X41" s="2">
        <v>54.59</v>
      </c>
      <c r="Y41" s="2">
        <v>52.774470899470906</v>
      </c>
      <c r="AA41" s="1">
        <v>62</v>
      </c>
      <c r="AB41" s="2">
        <v>54.75</v>
      </c>
      <c r="AD41" s="136">
        <v>62</v>
      </c>
      <c r="AE41" s="136">
        <v>54.79</v>
      </c>
      <c r="AF41" s="136">
        <v>54.58</v>
      </c>
    </row>
    <row r="42" spans="2:32" x14ac:dyDescent="0.3">
      <c r="B42" s="1">
        <v>61</v>
      </c>
      <c r="C42" s="2">
        <v>54.51</v>
      </c>
      <c r="D42" s="2">
        <v>54.26</v>
      </c>
      <c r="E42" s="2">
        <v>52.476190476190474</v>
      </c>
      <c r="G42" s="1">
        <v>61</v>
      </c>
      <c r="H42" s="2">
        <v>54.51</v>
      </c>
      <c r="I42" s="2">
        <v>54.25</v>
      </c>
      <c r="J42" s="4">
        <v>52.47</v>
      </c>
      <c r="K42" s="5"/>
      <c r="L42" s="6">
        <v>61</v>
      </c>
      <c r="M42" s="2">
        <v>55.41</v>
      </c>
      <c r="N42" s="2">
        <v>55.36</v>
      </c>
      <c r="O42" s="2">
        <v>52.476190476190474</v>
      </c>
      <c r="Q42" s="1">
        <v>61</v>
      </c>
      <c r="R42" s="2">
        <v>54.43</v>
      </c>
      <c r="S42" s="2">
        <v>54.26</v>
      </c>
      <c r="T42" s="2">
        <v>52.476190476190474</v>
      </c>
      <c r="V42" s="1">
        <v>61</v>
      </c>
      <c r="W42" s="2">
        <v>54.51</v>
      </c>
      <c r="X42" s="2">
        <v>54.26</v>
      </c>
      <c r="Y42" s="2">
        <v>52.476190476190474</v>
      </c>
      <c r="AA42" s="1">
        <v>61</v>
      </c>
      <c r="AB42" s="2">
        <v>54.63</v>
      </c>
      <c r="AD42" s="136">
        <v>61</v>
      </c>
      <c r="AE42" s="136">
        <v>54.51</v>
      </c>
      <c r="AF42" s="136">
        <v>54.25</v>
      </c>
    </row>
    <row r="43" spans="2:32" x14ac:dyDescent="0.3">
      <c r="B43" s="1">
        <v>60</v>
      </c>
      <c r="C43" s="2">
        <v>54.21</v>
      </c>
      <c r="D43" s="2">
        <v>53.92</v>
      </c>
      <c r="E43" s="2">
        <v>52.175925925925924</v>
      </c>
      <c r="G43" s="1">
        <v>60</v>
      </c>
      <c r="H43" s="2">
        <v>54.2</v>
      </c>
      <c r="I43" s="2">
        <v>53.92</v>
      </c>
      <c r="J43" s="4">
        <v>52.17</v>
      </c>
      <c r="K43" s="5"/>
      <c r="L43" s="6">
        <v>60</v>
      </c>
      <c r="M43" s="2">
        <v>55.11</v>
      </c>
      <c r="N43" s="2">
        <v>55.02</v>
      </c>
      <c r="O43" s="2">
        <v>52.175925925925924</v>
      </c>
      <c r="Q43" s="1">
        <v>60</v>
      </c>
      <c r="R43" s="2">
        <v>54.11</v>
      </c>
      <c r="S43" s="2">
        <v>53.92</v>
      </c>
      <c r="T43" s="2">
        <v>52.175925925925924</v>
      </c>
      <c r="V43" s="1">
        <v>60</v>
      </c>
      <c r="W43" s="2">
        <v>54.21</v>
      </c>
      <c r="X43" s="2">
        <v>53.91</v>
      </c>
      <c r="Y43" s="2">
        <v>52.175925925925924</v>
      </c>
      <c r="AA43" s="1">
        <v>60</v>
      </c>
      <c r="AB43" s="2">
        <v>54</v>
      </c>
      <c r="AD43" s="136">
        <v>60</v>
      </c>
      <c r="AE43" s="136">
        <v>54.2</v>
      </c>
      <c r="AF43" s="136">
        <v>53.92</v>
      </c>
    </row>
    <row r="44" spans="2:32" x14ac:dyDescent="0.3">
      <c r="B44" s="1">
        <v>59</v>
      </c>
      <c r="C44" s="2">
        <v>53.86</v>
      </c>
      <c r="D44" s="2">
        <v>53.54</v>
      </c>
      <c r="E44" s="2">
        <v>51.894179894179899</v>
      </c>
      <c r="G44" s="1">
        <v>59</v>
      </c>
      <c r="H44" s="2">
        <v>53.86</v>
      </c>
      <c r="I44" s="2">
        <v>53.54</v>
      </c>
      <c r="J44" s="4">
        <v>51.89</v>
      </c>
      <c r="K44" s="5"/>
      <c r="L44" s="6">
        <v>59</v>
      </c>
      <c r="M44" s="2">
        <v>54.76</v>
      </c>
      <c r="N44" s="2">
        <v>54.64</v>
      </c>
      <c r="O44" s="2">
        <v>51.894179894179899</v>
      </c>
      <c r="Q44" s="1">
        <v>59</v>
      </c>
      <c r="R44" s="2">
        <v>53.77</v>
      </c>
      <c r="S44" s="2">
        <v>53.54</v>
      </c>
      <c r="T44" s="2">
        <v>51.894179894179899</v>
      </c>
      <c r="V44" s="1">
        <v>59</v>
      </c>
      <c r="W44" s="2">
        <v>53.85</v>
      </c>
      <c r="X44" s="2">
        <v>53.54</v>
      </c>
      <c r="Y44" s="2">
        <v>51.894179894179899</v>
      </c>
      <c r="AA44" s="1">
        <v>59</v>
      </c>
      <c r="AB44" s="2">
        <v>53.75</v>
      </c>
      <c r="AD44" s="136">
        <v>59</v>
      </c>
      <c r="AE44" s="136">
        <v>53.86</v>
      </c>
      <c r="AF44" s="136">
        <v>53.54</v>
      </c>
    </row>
    <row r="45" spans="2:32" x14ac:dyDescent="0.3">
      <c r="B45" s="1">
        <v>58</v>
      </c>
      <c r="C45" s="2">
        <v>53.54</v>
      </c>
      <c r="D45" s="2">
        <v>53.21</v>
      </c>
      <c r="E45" s="2">
        <v>51.614417989417987</v>
      </c>
      <c r="G45" s="1">
        <v>58</v>
      </c>
      <c r="H45" s="2">
        <v>53.53</v>
      </c>
      <c r="I45" s="2">
        <v>53.2</v>
      </c>
      <c r="J45" s="4">
        <v>51.61</v>
      </c>
      <c r="K45" s="5"/>
      <c r="L45" s="6">
        <v>58</v>
      </c>
      <c r="M45" s="2">
        <v>54.43</v>
      </c>
      <c r="N45" s="2">
        <v>54.31</v>
      </c>
      <c r="O45" s="2">
        <v>51.614417989417987</v>
      </c>
      <c r="Q45" s="1">
        <v>58</v>
      </c>
      <c r="R45" s="2">
        <v>53.46</v>
      </c>
      <c r="S45" s="2">
        <v>53.21</v>
      </c>
      <c r="T45" s="2">
        <v>51.614417989417987</v>
      </c>
      <c r="V45" s="1">
        <v>58</v>
      </c>
      <c r="W45" s="2">
        <v>53.54</v>
      </c>
      <c r="X45" s="2">
        <v>53.23</v>
      </c>
      <c r="Y45" s="2">
        <v>51.614417989417987</v>
      </c>
      <c r="AA45" s="1">
        <v>58</v>
      </c>
      <c r="AB45" s="2">
        <v>53.38</v>
      </c>
      <c r="AD45" s="136">
        <v>58</v>
      </c>
      <c r="AE45" s="136">
        <v>53.53</v>
      </c>
      <c r="AF45" s="136">
        <v>53.2</v>
      </c>
    </row>
    <row r="46" spans="2:32" x14ac:dyDescent="0.3">
      <c r="B46" s="1">
        <v>57</v>
      </c>
      <c r="C46" s="2">
        <v>53.2</v>
      </c>
      <c r="D46" s="2">
        <v>52.88</v>
      </c>
      <c r="E46" s="2">
        <v>51.316137566137563</v>
      </c>
      <c r="G46" s="1">
        <v>57</v>
      </c>
      <c r="H46" s="2">
        <v>53.19</v>
      </c>
      <c r="I46" s="2">
        <v>52.87</v>
      </c>
      <c r="J46" s="4">
        <v>51.31</v>
      </c>
      <c r="K46" s="5"/>
      <c r="L46" s="6">
        <v>57</v>
      </c>
      <c r="M46" s="2">
        <v>54.1</v>
      </c>
      <c r="N46" s="2">
        <v>53.97</v>
      </c>
      <c r="O46" s="2">
        <v>51.316137566137563</v>
      </c>
      <c r="Q46" s="1">
        <v>57</v>
      </c>
      <c r="R46" s="2">
        <v>53.13</v>
      </c>
      <c r="S46" s="2">
        <v>52.88</v>
      </c>
      <c r="T46" s="2">
        <v>51.316137566137563</v>
      </c>
      <c r="V46" s="1">
        <v>57</v>
      </c>
      <c r="W46" s="2">
        <v>53.21</v>
      </c>
      <c r="X46" s="2">
        <v>52.88</v>
      </c>
      <c r="Y46" s="2">
        <v>51.316137566137563</v>
      </c>
      <c r="AA46" s="1">
        <v>57</v>
      </c>
      <c r="AB46" s="2">
        <v>53</v>
      </c>
      <c r="AD46" s="136">
        <v>57</v>
      </c>
      <c r="AE46" s="136">
        <v>53.19</v>
      </c>
      <c r="AF46" s="136">
        <v>52.87</v>
      </c>
    </row>
    <row r="47" spans="2:32" x14ac:dyDescent="0.3">
      <c r="B47" s="1">
        <v>56</v>
      </c>
      <c r="C47" s="2">
        <v>52.84</v>
      </c>
      <c r="D47" s="2">
        <v>52.54</v>
      </c>
      <c r="E47" s="2">
        <v>50.994708994708994</v>
      </c>
      <c r="G47" s="1">
        <v>56</v>
      </c>
      <c r="H47" s="2">
        <v>52.84</v>
      </c>
      <c r="I47" s="2">
        <v>52.54</v>
      </c>
      <c r="J47" s="4">
        <v>50.99</v>
      </c>
      <c r="K47" s="5"/>
      <c r="L47" s="6">
        <v>56</v>
      </c>
      <c r="M47" s="2">
        <v>53.74</v>
      </c>
      <c r="N47" s="2">
        <v>53.64</v>
      </c>
      <c r="O47" s="2">
        <v>50.994708994708994</v>
      </c>
      <c r="Q47" s="1">
        <v>56</v>
      </c>
      <c r="R47" s="2">
        <v>52.8</v>
      </c>
      <c r="S47" s="2">
        <v>52.54</v>
      </c>
      <c r="T47" s="2">
        <v>50.994708994708994</v>
      </c>
      <c r="V47" s="1">
        <v>56</v>
      </c>
      <c r="W47" s="2">
        <v>52.83</v>
      </c>
      <c r="X47" s="2">
        <v>52.53</v>
      </c>
      <c r="Y47" s="2">
        <v>50.994708994708994</v>
      </c>
      <c r="AA47" s="1">
        <v>56</v>
      </c>
      <c r="AB47" s="2">
        <v>52.75</v>
      </c>
      <c r="AD47" s="136">
        <v>56</v>
      </c>
      <c r="AE47" s="136">
        <v>52.84</v>
      </c>
      <c r="AF47" s="136">
        <v>52.54</v>
      </c>
    </row>
    <row r="48" spans="2:32" x14ac:dyDescent="0.3">
      <c r="B48" s="1">
        <v>55</v>
      </c>
      <c r="C48" s="2">
        <v>52.51</v>
      </c>
      <c r="D48" s="2">
        <v>52.21</v>
      </c>
      <c r="E48" s="2">
        <v>50.673280423280417</v>
      </c>
      <c r="G48" s="1">
        <v>55</v>
      </c>
      <c r="H48" s="2">
        <v>52.5</v>
      </c>
      <c r="I48" s="2">
        <v>52.2</v>
      </c>
      <c r="J48" s="4">
        <v>50.67</v>
      </c>
      <c r="K48" s="5"/>
      <c r="L48" s="6">
        <v>55</v>
      </c>
      <c r="M48" s="2">
        <v>53.41</v>
      </c>
      <c r="N48" s="2">
        <v>53.31</v>
      </c>
      <c r="O48" s="2">
        <v>50.673280423280417</v>
      </c>
      <c r="Q48" s="1">
        <v>55</v>
      </c>
      <c r="R48" s="2">
        <v>52.48</v>
      </c>
      <c r="S48" s="2">
        <v>52.21</v>
      </c>
      <c r="T48" s="2">
        <v>50.673280423280417</v>
      </c>
      <c r="V48" s="1">
        <v>55</v>
      </c>
      <c r="W48" s="2">
        <v>52.51</v>
      </c>
      <c r="X48" s="2">
        <v>52.21</v>
      </c>
      <c r="Y48" s="2">
        <v>50.673280423280417</v>
      </c>
      <c r="AA48" s="1">
        <v>55</v>
      </c>
      <c r="AB48" s="2">
        <v>52.5</v>
      </c>
      <c r="AD48" s="136">
        <v>55</v>
      </c>
      <c r="AE48" s="136">
        <v>52.5</v>
      </c>
      <c r="AF48" s="136">
        <v>52.2</v>
      </c>
    </row>
    <row r="49" spans="2:32" x14ac:dyDescent="0.3">
      <c r="B49" s="1">
        <v>54</v>
      </c>
      <c r="C49" s="2">
        <v>52.12</v>
      </c>
      <c r="D49" s="2">
        <v>51.84</v>
      </c>
      <c r="E49" s="2">
        <v>50.379629629629633</v>
      </c>
      <c r="G49" s="1">
        <v>54</v>
      </c>
      <c r="H49" s="2">
        <v>52.11</v>
      </c>
      <c r="I49" s="2">
        <v>51.84</v>
      </c>
      <c r="J49" s="4">
        <v>50.37</v>
      </c>
      <c r="K49" s="5"/>
      <c r="L49" s="6">
        <v>54</v>
      </c>
      <c r="M49" s="2">
        <v>53.01</v>
      </c>
      <c r="N49" s="2">
        <v>52.94</v>
      </c>
      <c r="O49" s="2">
        <v>50.379629629629633</v>
      </c>
      <c r="Q49" s="1">
        <v>54</v>
      </c>
      <c r="R49" s="2">
        <v>52.08</v>
      </c>
      <c r="S49" s="2">
        <v>51.84</v>
      </c>
      <c r="T49" s="2">
        <v>50.379629629629633</v>
      </c>
      <c r="V49" s="1">
        <v>54</v>
      </c>
      <c r="W49" s="2">
        <v>52.12</v>
      </c>
      <c r="X49" s="2">
        <v>51.85</v>
      </c>
      <c r="Y49" s="2">
        <v>50.379629629629633</v>
      </c>
      <c r="AA49" s="1">
        <v>54</v>
      </c>
      <c r="AB49" s="2">
        <v>52.25</v>
      </c>
      <c r="AD49" s="136">
        <v>54</v>
      </c>
      <c r="AE49" s="136">
        <v>52.11</v>
      </c>
      <c r="AF49" s="136">
        <v>51.84</v>
      </c>
    </row>
    <row r="50" spans="2:32" x14ac:dyDescent="0.3">
      <c r="B50" s="1">
        <v>53</v>
      </c>
      <c r="C50" s="2">
        <v>51.73</v>
      </c>
      <c r="D50" s="2">
        <v>51.46</v>
      </c>
      <c r="E50" s="2">
        <v>50.104320987654326</v>
      </c>
      <c r="G50" s="1">
        <v>53</v>
      </c>
      <c r="H50" s="2">
        <v>51.73</v>
      </c>
      <c r="I50" s="2">
        <v>51.45</v>
      </c>
      <c r="J50" s="4">
        <v>50.1</v>
      </c>
      <c r="K50" s="5"/>
      <c r="L50" s="6">
        <v>53</v>
      </c>
      <c r="M50" s="2">
        <v>52.63</v>
      </c>
      <c r="N50" s="2">
        <v>52.56</v>
      </c>
      <c r="O50" s="2">
        <v>50.104320987654326</v>
      </c>
      <c r="Q50" s="1">
        <v>53</v>
      </c>
      <c r="R50" s="2">
        <v>51.7</v>
      </c>
      <c r="S50" s="2">
        <v>51.46</v>
      </c>
      <c r="T50" s="2">
        <v>50.104320987654326</v>
      </c>
      <c r="V50" s="1">
        <v>53</v>
      </c>
      <c r="W50" s="2">
        <v>51.73</v>
      </c>
      <c r="X50" s="2">
        <v>51.45</v>
      </c>
      <c r="Y50" s="2">
        <v>50.104320987654326</v>
      </c>
      <c r="AA50" s="1">
        <v>53</v>
      </c>
      <c r="AB50" s="2">
        <v>51.5</v>
      </c>
      <c r="AD50" s="136">
        <v>53</v>
      </c>
      <c r="AE50" s="136">
        <v>51.73</v>
      </c>
      <c r="AF50" s="136">
        <v>51.45</v>
      </c>
    </row>
    <row r="51" spans="2:32" x14ac:dyDescent="0.3">
      <c r="B51" s="1">
        <v>52</v>
      </c>
      <c r="C51" s="2">
        <v>51.35</v>
      </c>
      <c r="D51" s="2">
        <v>51.08</v>
      </c>
      <c r="E51" s="2">
        <v>49.829012345679011</v>
      </c>
      <c r="G51" s="1">
        <v>52</v>
      </c>
      <c r="H51" s="2">
        <v>51.35</v>
      </c>
      <c r="I51" s="2">
        <v>51.08</v>
      </c>
      <c r="J51" s="4">
        <v>49.82</v>
      </c>
      <c r="K51" s="5"/>
      <c r="L51" s="6">
        <v>52</v>
      </c>
      <c r="M51" s="2">
        <v>52.25</v>
      </c>
      <c r="N51" s="2">
        <v>52.18</v>
      </c>
      <c r="O51" s="2">
        <v>49.829012345679011</v>
      </c>
      <c r="Q51" s="1">
        <v>52</v>
      </c>
      <c r="R51" s="2">
        <v>51.33</v>
      </c>
      <c r="S51" s="2">
        <v>51.08</v>
      </c>
      <c r="T51" s="2">
        <v>49.829012345679011</v>
      </c>
      <c r="V51" s="1">
        <v>52</v>
      </c>
      <c r="W51" s="2">
        <v>51.35</v>
      </c>
      <c r="X51" s="2">
        <v>51.09</v>
      </c>
      <c r="Y51" s="2">
        <v>49.829012345679011</v>
      </c>
      <c r="AA51" s="1">
        <v>52</v>
      </c>
      <c r="AB51" s="2">
        <v>51.38</v>
      </c>
      <c r="AD51" s="136">
        <v>52</v>
      </c>
      <c r="AE51" s="136">
        <v>51.35</v>
      </c>
      <c r="AF51" s="136">
        <v>51.08</v>
      </c>
    </row>
    <row r="52" spans="2:32" x14ac:dyDescent="0.3">
      <c r="B52" s="1">
        <v>51</v>
      </c>
      <c r="C52" s="2">
        <v>50.93</v>
      </c>
      <c r="D52" s="2">
        <v>50.73</v>
      </c>
      <c r="E52" s="2">
        <v>49.553703703703697</v>
      </c>
      <c r="G52" s="1">
        <v>51</v>
      </c>
      <c r="H52" s="2">
        <v>50.93</v>
      </c>
      <c r="I52" s="2">
        <v>50.72</v>
      </c>
      <c r="J52" s="4">
        <v>49.55</v>
      </c>
      <c r="K52" s="5"/>
      <c r="L52" s="6">
        <v>51</v>
      </c>
      <c r="M52" s="2">
        <v>51.83</v>
      </c>
      <c r="N52" s="2">
        <v>51.83</v>
      </c>
      <c r="O52" s="2">
        <v>49.553703703703697</v>
      </c>
      <c r="Q52" s="1">
        <v>51</v>
      </c>
      <c r="R52" s="2">
        <v>50.93</v>
      </c>
      <c r="S52" s="2">
        <v>50.71</v>
      </c>
      <c r="T52" s="2">
        <v>49.553703703703697</v>
      </c>
      <c r="V52" s="1">
        <v>51</v>
      </c>
      <c r="W52" s="2">
        <v>50.93</v>
      </c>
      <c r="X52" s="2">
        <v>50.74</v>
      </c>
      <c r="Y52" s="2">
        <v>49.553703703703697</v>
      </c>
      <c r="AA52" s="1">
        <v>51</v>
      </c>
      <c r="AB52" s="2">
        <v>50.75</v>
      </c>
      <c r="AD52" s="136">
        <v>51</v>
      </c>
      <c r="AE52" s="136">
        <v>50.93</v>
      </c>
      <c r="AF52" s="136">
        <v>50.72</v>
      </c>
    </row>
    <row r="53" spans="2:32" x14ac:dyDescent="0.3">
      <c r="B53" s="1">
        <v>50</v>
      </c>
      <c r="C53" s="2">
        <v>50.54</v>
      </c>
      <c r="D53" s="2">
        <v>50.34</v>
      </c>
      <c r="E53" s="2">
        <v>49.197839506172841</v>
      </c>
      <c r="G53" s="1">
        <v>50</v>
      </c>
      <c r="H53" s="2">
        <v>50.54</v>
      </c>
      <c r="I53" s="2">
        <v>50.34</v>
      </c>
      <c r="J53" s="4">
        <v>49.19</v>
      </c>
      <c r="K53" s="5"/>
      <c r="L53" s="6">
        <v>50</v>
      </c>
      <c r="M53" s="2">
        <v>51.44</v>
      </c>
      <c r="N53" s="2">
        <v>51.44</v>
      </c>
      <c r="O53" s="2">
        <v>49.197839506172841</v>
      </c>
      <c r="Q53" s="1">
        <v>50</v>
      </c>
      <c r="R53" s="2">
        <v>50.53</v>
      </c>
      <c r="S53" s="2">
        <v>50.3</v>
      </c>
      <c r="T53" s="2">
        <v>49.197839506172841</v>
      </c>
      <c r="V53" s="1">
        <v>50</v>
      </c>
      <c r="W53" s="2">
        <v>50.55</v>
      </c>
      <c r="X53" s="2">
        <v>50.33</v>
      </c>
      <c r="Y53" s="2">
        <v>49.197839506172841</v>
      </c>
      <c r="AA53" s="1">
        <v>50</v>
      </c>
      <c r="AB53" s="2">
        <v>50.5</v>
      </c>
      <c r="AD53" s="136">
        <v>50</v>
      </c>
      <c r="AE53" s="136">
        <v>50.54</v>
      </c>
      <c r="AF53" s="136">
        <v>50.34</v>
      </c>
    </row>
    <row r="54" spans="2:32" x14ac:dyDescent="0.3">
      <c r="B54" s="1">
        <v>49</v>
      </c>
      <c r="C54" s="2">
        <v>50.17</v>
      </c>
      <c r="D54" s="2">
        <v>49.96</v>
      </c>
      <c r="E54" s="2">
        <v>48.916049382716047</v>
      </c>
      <c r="G54" s="1">
        <v>49</v>
      </c>
      <c r="H54" s="2">
        <v>50.16</v>
      </c>
      <c r="I54" s="2">
        <v>49.95</v>
      </c>
      <c r="J54" s="4">
        <v>48.91</v>
      </c>
      <c r="K54" s="5"/>
      <c r="L54" s="6">
        <v>49</v>
      </c>
      <c r="M54" s="2">
        <v>51.06</v>
      </c>
      <c r="N54" s="2">
        <v>51.06</v>
      </c>
      <c r="O54" s="2">
        <v>48.916049382716047</v>
      </c>
      <c r="Q54" s="1">
        <v>49</v>
      </c>
      <c r="R54" s="2">
        <v>50.12</v>
      </c>
      <c r="S54" s="2">
        <v>49.92</v>
      </c>
      <c r="T54" s="2">
        <v>48.916049382716047</v>
      </c>
      <c r="V54" s="1">
        <v>49</v>
      </c>
      <c r="W54" s="2">
        <v>50.17</v>
      </c>
      <c r="X54" s="2">
        <v>49.96</v>
      </c>
      <c r="Y54" s="2">
        <v>48.916049382716047</v>
      </c>
      <c r="AA54" s="1">
        <v>49</v>
      </c>
      <c r="AB54" s="2">
        <v>50</v>
      </c>
      <c r="AD54" s="136">
        <v>49</v>
      </c>
      <c r="AE54" s="136">
        <v>50.16</v>
      </c>
      <c r="AF54" s="136">
        <v>49.95</v>
      </c>
    </row>
    <row r="55" spans="2:32" x14ac:dyDescent="0.3">
      <c r="B55" s="1">
        <v>48</v>
      </c>
      <c r="C55" s="2">
        <v>49.82</v>
      </c>
      <c r="D55" s="2">
        <v>49.6</v>
      </c>
      <c r="E55" s="2">
        <v>48.62037037037036</v>
      </c>
      <c r="G55" s="1">
        <v>48</v>
      </c>
      <c r="H55" s="2">
        <v>49.81</v>
      </c>
      <c r="I55" s="2">
        <v>49.59</v>
      </c>
      <c r="J55" s="4">
        <v>48.62</v>
      </c>
      <c r="K55" s="5"/>
      <c r="L55" s="6">
        <v>48</v>
      </c>
      <c r="M55" s="2">
        <v>50.72</v>
      </c>
      <c r="N55" s="2">
        <v>50.69</v>
      </c>
      <c r="O55" s="2">
        <v>48.62037037037036</v>
      </c>
      <c r="Q55" s="1">
        <v>48</v>
      </c>
      <c r="R55" s="2">
        <v>49.73</v>
      </c>
      <c r="S55" s="2">
        <v>49.55</v>
      </c>
      <c r="T55" s="2">
        <v>48.62037037037036</v>
      </c>
      <c r="V55" s="1">
        <v>48</v>
      </c>
      <c r="W55" s="2">
        <v>49.81</v>
      </c>
      <c r="X55" s="2">
        <v>49.61</v>
      </c>
      <c r="Y55" s="2">
        <v>48.62037037037036</v>
      </c>
      <c r="AA55" s="1">
        <v>48</v>
      </c>
      <c r="AB55" s="2">
        <v>50</v>
      </c>
      <c r="AD55" s="136">
        <v>48</v>
      </c>
      <c r="AE55" s="136">
        <v>49.81</v>
      </c>
      <c r="AF55" s="136">
        <v>49.59</v>
      </c>
    </row>
    <row r="56" spans="2:32" x14ac:dyDescent="0.3">
      <c r="B56" s="1">
        <v>47</v>
      </c>
      <c r="C56" s="2">
        <v>49.42</v>
      </c>
      <c r="D56" s="2">
        <v>49.23</v>
      </c>
      <c r="E56" s="2">
        <v>48.250617283950618</v>
      </c>
      <c r="G56" s="1">
        <v>47</v>
      </c>
      <c r="H56" s="2">
        <v>49.41</v>
      </c>
      <c r="I56" s="2">
        <v>49.22</v>
      </c>
      <c r="J56" s="4">
        <v>48.25</v>
      </c>
      <c r="K56" s="5"/>
      <c r="L56" s="6">
        <v>47</v>
      </c>
      <c r="M56" s="2">
        <v>50.32</v>
      </c>
      <c r="N56" s="2">
        <v>50.33</v>
      </c>
      <c r="O56" s="2">
        <v>48.250617283950618</v>
      </c>
      <c r="Q56" s="1">
        <v>47</v>
      </c>
      <c r="R56" s="2">
        <v>49.39</v>
      </c>
      <c r="S56" s="2">
        <v>49.19</v>
      </c>
      <c r="T56" s="2">
        <v>48.250617283950618</v>
      </c>
      <c r="V56" s="1">
        <v>47</v>
      </c>
      <c r="W56" s="2">
        <v>49.42</v>
      </c>
      <c r="X56" s="2">
        <v>49.21</v>
      </c>
      <c r="Y56" s="2">
        <v>48.250617283950618</v>
      </c>
      <c r="AA56" s="1">
        <v>47</v>
      </c>
      <c r="AB56" s="2">
        <v>49.38</v>
      </c>
      <c r="AD56" s="136">
        <v>47</v>
      </c>
      <c r="AE56" s="136">
        <v>49.41</v>
      </c>
      <c r="AF56" s="136">
        <v>49.22</v>
      </c>
    </row>
    <row r="57" spans="2:32" x14ac:dyDescent="0.3">
      <c r="B57" s="1">
        <v>46</v>
      </c>
      <c r="C57" s="2">
        <v>48.99</v>
      </c>
      <c r="D57" s="2">
        <v>48.82</v>
      </c>
      <c r="E57" s="2">
        <v>47.945679012345671</v>
      </c>
      <c r="G57" s="1">
        <v>46</v>
      </c>
      <c r="H57" s="2">
        <v>48.99</v>
      </c>
      <c r="I57" s="2">
        <v>48.82</v>
      </c>
      <c r="J57" s="4">
        <v>47.94</v>
      </c>
      <c r="K57" s="5"/>
      <c r="L57" s="6">
        <v>46</v>
      </c>
      <c r="M57" s="2">
        <v>49.89</v>
      </c>
      <c r="N57" s="2">
        <v>49.92</v>
      </c>
      <c r="O57" s="2">
        <v>47.945679012345671</v>
      </c>
      <c r="Q57" s="1">
        <v>46</v>
      </c>
      <c r="R57" s="2">
        <v>48.98</v>
      </c>
      <c r="S57" s="2">
        <v>48.78</v>
      </c>
      <c r="T57" s="2">
        <v>47.945679012345671</v>
      </c>
      <c r="V57" s="1">
        <v>46</v>
      </c>
      <c r="W57" s="2">
        <v>48.99</v>
      </c>
      <c r="X57" s="2">
        <v>48.83</v>
      </c>
      <c r="Y57" s="2">
        <v>47.945679012345671</v>
      </c>
      <c r="AA57" s="1">
        <v>46</v>
      </c>
      <c r="AB57" s="2">
        <v>48.88</v>
      </c>
      <c r="AD57" s="136">
        <v>46</v>
      </c>
      <c r="AE57" s="136">
        <v>48.99</v>
      </c>
      <c r="AF57" s="136">
        <v>48.82</v>
      </c>
    </row>
    <row r="58" spans="2:32" x14ac:dyDescent="0.3">
      <c r="B58" s="1">
        <v>45</v>
      </c>
      <c r="C58" s="2">
        <v>48.62</v>
      </c>
      <c r="D58" s="2">
        <v>48.44</v>
      </c>
      <c r="E58" s="2">
        <v>47.529629629629625</v>
      </c>
      <c r="G58" s="1">
        <v>45</v>
      </c>
      <c r="H58" s="2">
        <v>48.62</v>
      </c>
      <c r="I58" s="2">
        <v>48.43</v>
      </c>
      <c r="J58" s="4">
        <v>47.52</v>
      </c>
      <c r="K58" s="5"/>
      <c r="L58" s="6">
        <v>45</v>
      </c>
      <c r="M58" s="2">
        <v>49.52</v>
      </c>
      <c r="N58" s="2">
        <v>49.54</v>
      </c>
      <c r="O58" s="2">
        <v>47.529629629629625</v>
      </c>
      <c r="Q58" s="1">
        <v>45</v>
      </c>
      <c r="R58" s="2">
        <v>48.62</v>
      </c>
      <c r="S58" s="2">
        <v>48.42</v>
      </c>
      <c r="T58" s="2">
        <v>47.529629629629625</v>
      </c>
      <c r="V58" s="1">
        <v>45</v>
      </c>
      <c r="W58" s="2">
        <v>48.62</v>
      </c>
      <c r="X58" s="2">
        <v>48.44</v>
      </c>
      <c r="Y58" s="2">
        <v>47.529629629629625</v>
      </c>
      <c r="AA58" s="1">
        <v>45</v>
      </c>
      <c r="AB58" s="2">
        <v>48.75</v>
      </c>
      <c r="AD58" s="136">
        <v>45</v>
      </c>
      <c r="AE58" s="136">
        <v>48.62</v>
      </c>
      <c r="AF58" s="136">
        <v>48.43</v>
      </c>
    </row>
    <row r="59" spans="2:32" x14ac:dyDescent="0.3">
      <c r="B59" s="1">
        <v>44</v>
      </c>
      <c r="C59" s="2">
        <v>48.28</v>
      </c>
      <c r="D59" s="2">
        <v>48.04</v>
      </c>
      <c r="E59" s="2">
        <v>47.169135802469128</v>
      </c>
      <c r="G59" s="1">
        <v>44</v>
      </c>
      <c r="H59" s="2">
        <v>48.27</v>
      </c>
      <c r="I59" s="2">
        <v>48.04</v>
      </c>
      <c r="J59" s="4">
        <v>47.16</v>
      </c>
      <c r="K59" s="5"/>
      <c r="L59" s="6">
        <v>44</v>
      </c>
      <c r="M59" s="2">
        <v>49.17</v>
      </c>
      <c r="N59" s="2">
        <v>49.14</v>
      </c>
      <c r="O59" s="2">
        <v>47.169135802469128</v>
      </c>
      <c r="Q59" s="1">
        <v>44</v>
      </c>
      <c r="R59" s="2">
        <v>48.27</v>
      </c>
      <c r="S59" s="2">
        <v>48.04</v>
      </c>
      <c r="T59" s="2">
        <v>47.169135802469128</v>
      </c>
      <c r="V59" s="1">
        <v>44</v>
      </c>
      <c r="W59" s="2">
        <v>48.29</v>
      </c>
      <c r="X59" s="2">
        <v>48.04</v>
      </c>
      <c r="Y59" s="2">
        <v>47.169135802469128</v>
      </c>
      <c r="AA59" s="1">
        <v>44</v>
      </c>
      <c r="AB59" s="2">
        <v>48.13</v>
      </c>
      <c r="AD59" s="136">
        <v>44</v>
      </c>
      <c r="AE59" s="136">
        <v>48.27</v>
      </c>
      <c r="AF59" s="136">
        <v>48.04</v>
      </c>
    </row>
    <row r="60" spans="2:32" x14ac:dyDescent="0.3">
      <c r="B60" s="1">
        <v>43</v>
      </c>
      <c r="C60" s="2">
        <v>47.87</v>
      </c>
      <c r="D60" s="2">
        <v>47.68</v>
      </c>
      <c r="E60" s="2">
        <v>46.858641975308643</v>
      </c>
      <c r="G60" s="1">
        <v>43</v>
      </c>
      <c r="H60" s="2">
        <v>47.87</v>
      </c>
      <c r="I60" s="2">
        <v>47.67</v>
      </c>
      <c r="J60" s="4">
        <v>46.85</v>
      </c>
      <c r="K60" s="5"/>
      <c r="L60" s="6">
        <v>43</v>
      </c>
      <c r="M60" s="2">
        <v>48.77</v>
      </c>
      <c r="N60" s="2">
        <v>48.78</v>
      </c>
      <c r="O60" s="2">
        <v>46.858641975308643</v>
      </c>
      <c r="Q60" s="1">
        <v>43</v>
      </c>
      <c r="R60" s="2">
        <v>47.86</v>
      </c>
      <c r="S60" s="2">
        <v>47.68</v>
      </c>
      <c r="T60" s="2">
        <v>46.858641975308643</v>
      </c>
      <c r="V60" s="1">
        <v>43</v>
      </c>
      <c r="W60" s="2">
        <v>47.86</v>
      </c>
      <c r="X60" s="2">
        <v>47.69</v>
      </c>
      <c r="Y60" s="2">
        <v>46.858641975308643</v>
      </c>
      <c r="AA60" s="1">
        <v>43</v>
      </c>
      <c r="AB60" s="2">
        <v>48</v>
      </c>
      <c r="AD60" s="136">
        <v>43</v>
      </c>
      <c r="AE60" s="136">
        <v>47.87</v>
      </c>
      <c r="AF60" s="136">
        <v>47.67</v>
      </c>
    </row>
    <row r="61" spans="2:32" x14ac:dyDescent="0.3">
      <c r="B61" s="1">
        <v>42</v>
      </c>
      <c r="C61" s="2">
        <v>47.48</v>
      </c>
      <c r="D61" s="2">
        <v>47.29</v>
      </c>
      <c r="E61" s="2">
        <v>46.57592592592593</v>
      </c>
      <c r="G61" s="1">
        <v>42</v>
      </c>
      <c r="H61" s="2">
        <v>47.47</v>
      </c>
      <c r="I61" s="2">
        <v>47.29</v>
      </c>
      <c r="J61" s="4">
        <v>46.57</v>
      </c>
      <c r="K61" s="5"/>
      <c r="L61" s="6">
        <v>42</v>
      </c>
      <c r="M61" s="2">
        <v>48.38</v>
      </c>
      <c r="N61" s="2">
        <v>48.39</v>
      </c>
      <c r="O61" s="2">
        <v>46.57592592592593</v>
      </c>
      <c r="Q61" s="1">
        <v>42</v>
      </c>
      <c r="R61" s="2">
        <v>47.45</v>
      </c>
      <c r="S61" s="2">
        <v>47.29</v>
      </c>
      <c r="T61" s="2">
        <v>46.57592592592593</v>
      </c>
      <c r="V61" s="1">
        <v>42</v>
      </c>
      <c r="W61" s="2">
        <v>47.47</v>
      </c>
      <c r="X61" s="2">
        <v>47.29</v>
      </c>
      <c r="Y61" s="2">
        <v>46.57592592592593</v>
      </c>
      <c r="AA61" s="1">
        <v>42</v>
      </c>
      <c r="AB61" s="2">
        <v>47.5</v>
      </c>
      <c r="AD61" s="136">
        <v>42</v>
      </c>
      <c r="AE61" s="136">
        <v>47.47</v>
      </c>
      <c r="AF61" s="136">
        <v>47.29</v>
      </c>
    </row>
    <row r="62" spans="2:32" x14ac:dyDescent="0.3">
      <c r="B62" s="1">
        <v>41</v>
      </c>
      <c r="C62" s="2">
        <v>47.13</v>
      </c>
      <c r="D62" s="2">
        <v>46.91</v>
      </c>
      <c r="E62" s="2">
        <v>46.237654320987644</v>
      </c>
      <c r="G62" s="1">
        <v>41</v>
      </c>
      <c r="H62" s="2">
        <v>47.12</v>
      </c>
      <c r="I62" s="2">
        <v>46.9</v>
      </c>
      <c r="J62" s="4">
        <v>46.23</v>
      </c>
      <c r="K62" s="5"/>
      <c r="L62" s="6">
        <v>41</v>
      </c>
      <c r="M62" s="2">
        <v>48.02</v>
      </c>
      <c r="N62" s="2">
        <v>48.01</v>
      </c>
      <c r="O62" s="2">
        <v>46.237654320987644</v>
      </c>
      <c r="Q62" s="1">
        <v>41</v>
      </c>
      <c r="R62" s="2">
        <v>47.08</v>
      </c>
      <c r="S62" s="2">
        <v>46.91</v>
      </c>
      <c r="T62" s="2">
        <v>46.237654320987644</v>
      </c>
      <c r="V62" s="1">
        <v>41</v>
      </c>
      <c r="W62" s="2">
        <v>47.15</v>
      </c>
      <c r="X62" s="2">
        <v>46.9</v>
      </c>
      <c r="Y62" s="2">
        <v>46.237654320987644</v>
      </c>
      <c r="AA62" s="1">
        <v>41</v>
      </c>
      <c r="AB62" s="2">
        <v>47.13</v>
      </c>
      <c r="AD62" s="136">
        <v>41</v>
      </c>
      <c r="AE62" s="136">
        <v>47.12</v>
      </c>
      <c r="AF62" s="136">
        <v>46.9</v>
      </c>
    </row>
    <row r="63" spans="2:32" x14ac:dyDescent="0.3">
      <c r="B63" s="1">
        <v>40</v>
      </c>
      <c r="C63" s="2">
        <v>46.78</v>
      </c>
      <c r="D63" s="2">
        <v>46.54</v>
      </c>
      <c r="E63" s="2">
        <v>45.885802469135797</v>
      </c>
      <c r="G63" s="1">
        <v>40</v>
      </c>
      <c r="H63" s="2">
        <v>46.78</v>
      </c>
      <c r="I63" s="2">
        <v>46.54</v>
      </c>
      <c r="J63" s="4">
        <v>45.88</v>
      </c>
      <c r="K63" s="5"/>
      <c r="L63" s="6">
        <v>40</v>
      </c>
      <c r="M63" s="2">
        <v>47.68</v>
      </c>
      <c r="N63" s="2">
        <v>47.64</v>
      </c>
      <c r="O63" s="2">
        <v>45.885802469135797</v>
      </c>
      <c r="Q63" s="1">
        <v>40</v>
      </c>
      <c r="R63" s="2">
        <v>46.73</v>
      </c>
      <c r="S63" s="2">
        <v>46.52</v>
      </c>
      <c r="T63" s="2">
        <v>45.885802469135797</v>
      </c>
      <c r="V63" s="1">
        <v>40</v>
      </c>
      <c r="W63" s="2">
        <v>46.77</v>
      </c>
      <c r="X63" s="2">
        <v>46.55</v>
      </c>
      <c r="Y63" s="2">
        <v>45.885802469135797</v>
      </c>
      <c r="AA63" s="1">
        <v>40</v>
      </c>
      <c r="AB63" s="2">
        <v>46.75</v>
      </c>
      <c r="AD63" s="136">
        <v>40</v>
      </c>
      <c r="AE63" s="136">
        <v>46.78</v>
      </c>
      <c r="AF63" s="136">
        <v>46.54</v>
      </c>
    </row>
    <row r="64" spans="2:32" x14ac:dyDescent="0.3">
      <c r="B64" s="1">
        <v>39</v>
      </c>
      <c r="C64" s="2">
        <v>46.46</v>
      </c>
      <c r="D64" s="2">
        <v>46.2</v>
      </c>
      <c r="E64" s="2">
        <v>45.552469135802468</v>
      </c>
      <c r="G64" s="1">
        <v>39</v>
      </c>
      <c r="H64" s="2">
        <v>46.45</v>
      </c>
      <c r="I64" s="2">
        <v>46.19</v>
      </c>
      <c r="J64" s="4">
        <v>45.55</v>
      </c>
      <c r="K64" s="5"/>
      <c r="L64" s="6">
        <v>39</v>
      </c>
      <c r="M64" s="2">
        <v>47.36</v>
      </c>
      <c r="N64" s="2">
        <v>47.3</v>
      </c>
      <c r="O64" s="2">
        <v>45.552469135802468</v>
      </c>
      <c r="Q64" s="1">
        <v>39</v>
      </c>
      <c r="R64" s="2">
        <v>46.42</v>
      </c>
      <c r="S64" s="2">
        <v>46.16</v>
      </c>
      <c r="T64" s="2">
        <v>45.552469135802468</v>
      </c>
      <c r="V64" s="1">
        <v>39</v>
      </c>
      <c r="W64" s="2">
        <v>46.45</v>
      </c>
      <c r="X64" s="2">
        <v>46.2</v>
      </c>
      <c r="Y64" s="2">
        <v>45.552469135802468</v>
      </c>
      <c r="AA64" s="1">
        <v>39</v>
      </c>
      <c r="AB64" s="2">
        <v>46.5</v>
      </c>
      <c r="AD64" s="136">
        <v>39</v>
      </c>
      <c r="AE64" s="136">
        <v>46.45</v>
      </c>
      <c r="AF64" s="136">
        <v>46.19</v>
      </c>
    </row>
    <row r="65" spans="2:32" x14ac:dyDescent="0.3">
      <c r="B65" s="1">
        <v>38</v>
      </c>
      <c r="C65" s="2">
        <v>46.08</v>
      </c>
      <c r="D65" s="2">
        <v>45.83</v>
      </c>
      <c r="E65" s="2">
        <v>45.237654320987652</v>
      </c>
      <c r="G65" s="1">
        <v>38</v>
      </c>
      <c r="H65" s="2">
        <v>46.08</v>
      </c>
      <c r="I65" s="2">
        <v>45.83</v>
      </c>
      <c r="J65" s="4">
        <v>45.23</v>
      </c>
      <c r="K65" s="5"/>
      <c r="L65" s="6">
        <v>38</v>
      </c>
      <c r="M65" s="2">
        <v>46.98</v>
      </c>
      <c r="N65" s="2">
        <v>46.93</v>
      </c>
      <c r="O65" s="2">
        <v>45.237654320987652</v>
      </c>
      <c r="Q65" s="1">
        <v>38</v>
      </c>
      <c r="R65" s="2">
        <v>46.05</v>
      </c>
      <c r="S65" s="2">
        <v>45.79</v>
      </c>
      <c r="T65" s="2">
        <v>45.237654320987652</v>
      </c>
      <c r="V65" s="1">
        <v>38</v>
      </c>
      <c r="W65" s="2">
        <v>46.09</v>
      </c>
      <c r="X65" s="2">
        <v>45.83</v>
      </c>
      <c r="Y65" s="2">
        <v>45.237654320987652</v>
      </c>
      <c r="AA65" s="1">
        <v>38</v>
      </c>
      <c r="AB65" s="2">
        <v>46.13</v>
      </c>
      <c r="AD65" s="136">
        <v>38</v>
      </c>
      <c r="AE65" s="136">
        <v>46.08</v>
      </c>
      <c r="AF65" s="136">
        <v>45.83</v>
      </c>
    </row>
    <row r="66" spans="2:32" x14ac:dyDescent="0.3">
      <c r="B66" s="1">
        <v>37</v>
      </c>
      <c r="C66" s="2">
        <v>45.69</v>
      </c>
      <c r="D66" s="2">
        <v>45.48</v>
      </c>
      <c r="E66" s="2">
        <v>44.885802469135797</v>
      </c>
      <c r="G66" s="1">
        <v>37</v>
      </c>
      <c r="H66" s="2">
        <v>45.69</v>
      </c>
      <c r="I66" s="2">
        <v>45.47</v>
      </c>
      <c r="J66" s="4">
        <v>44.88</v>
      </c>
      <c r="K66" s="5"/>
      <c r="L66" s="6">
        <v>37</v>
      </c>
      <c r="M66" s="2">
        <v>46.59</v>
      </c>
      <c r="N66" s="2">
        <v>46.58</v>
      </c>
      <c r="O66" s="2">
        <v>44.885802469135797</v>
      </c>
      <c r="Q66" s="1">
        <v>37</v>
      </c>
      <c r="R66" s="2">
        <v>45.66</v>
      </c>
      <c r="S66" s="2">
        <v>45.46</v>
      </c>
      <c r="T66" s="2">
        <v>44.885802469135797</v>
      </c>
      <c r="V66" s="1">
        <v>37</v>
      </c>
      <c r="W66" s="2">
        <v>45.69</v>
      </c>
      <c r="X66" s="2">
        <v>45.49</v>
      </c>
      <c r="Y66" s="2">
        <v>44.885802469135797</v>
      </c>
      <c r="AA66" s="1">
        <v>37</v>
      </c>
      <c r="AB66" s="2">
        <v>45.75</v>
      </c>
      <c r="AD66" s="136">
        <v>37</v>
      </c>
      <c r="AE66" s="136">
        <v>45.69</v>
      </c>
      <c r="AF66" s="136">
        <v>45.47</v>
      </c>
    </row>
    <row r="67" spans="2:32" x14ac:dyDescent="0.3">
      <c r="B67" s="1">
        <v>36</v>
      </c>
      <c r="C67" s="2">
        <v>45.32</v>
      </c>
      <c r="D67" s="2">
        <v>45.04</v>
      </c>
      <c r="E67" s="2">
        <v>44.60873694207028</v>
      </c>
      <c r="G67" s="1">
        <v>36</v>
      </c>
      <c r="H67" s="2">
        <v>45.31</v>
      </c>
      <c r="I67" s="2">
        <v>45.04</v>
      </c>
      <c r="J67" s="4">
        <v>44.6</v>
      </c>
      <c r="K67" s="5"/>
      <c r="L67" s="6">
        <v>36</v>
      </c>
      <c r="M67" s="2">
        <v>46.22</v>
      </c>
      <c r="N67" s="2">
        <v>46.14</v>
      </c>
      <c r="O67" s="2">
        <v>44.60873694207028</v>
      </c>
      <c r="Q67" s="1">
        <v>36</v>
      </c>
      <c r="R67" s="2">
        <v>45.28</v>
      </c>
      <c r="S67" s="2">
        <v>45.04</v>
      </c>
      <c r="T67" s="2">
        <v>44.60873694207028</v>
      </c>
      <c r="V67" s="1">
        <v>36</v>
      </c>
      <c r="W67" s="2">
        <v>45.32</v>
      </c>
      <c r="X67" s="2">
        <v>45.04</v>
      </c>
      <c r="Y67" s="2">
        <v>44.60873694207028</v>
      </c>
      <c r="AA67" s="1">
        <v>36</v>
      </c>
      <c r="AB67" s="2">
        <v>45.25</v>
      </c>
      <c r="AD67" s="136">
        <v>36</v>
      </c>
      <c r="AE67" s="136">
        <v>45.31</v>
      </c>
      <c r="AF67" s="136">
        <v>45.04</v>
      </c>
    </row>
    <row r="68" spans="2:32" x14ac:dyDescent="0.3">
      <c r="B68" s="1">
        <v>35</v>
      </c>
      <c r="C68" s="2">
        <v>44.96</v>
      </c>
      <c r="D68" s="2">
        <v>44.71</v>
      </c>
      <c r="E68" s="2">
        <v>44.35283543616876</v>
      </c>
      <c r="G68" s="1">
        <v>35</v>
      </c>
      <c r="H68" s="2">
        <v>44.95</v>
      </c>
      <c r="I68" s="2">
        <v>44.7</v>
      </c>
      <c r="J68" s="4">
        <v>44.35</v>
      </c>
      <c r="K68" s="5"/>
      <c r="L68" s="6">
        <v>35</v>
      </c>
      <c r="M68" s="2">
        <v>45.86</v>
      </c>
      <c r="N68" s="2">
        <v>45.81</v>
      </c>
      <c r="O68" s="2">
        <v>44.35283543616876</v>
      </c>
      <c r="Q68" s="1">
        <v>35</v>
      </c>
      <c r="R68" s="2">
        <v>44.91</v>
      </c>
      <c r="S68" s="2">
        <v>44.71</v>
      </c>
      <c r="T68" s="2">
        <v>44.35283543616876</v>
      </c>
      <c r="V68" s="1">
        <v>35</v>
      </c>
      <c r="W68" s="2">
        <v>44.96</v>
      </c>
      <c r="X68" s="2">
        <v>44.71</v>
      </c>
      <c r="Y68" s="2">
        <v>44.35283543616876</v>
      </c>
      <c r="AA68" s="1">
        <v>35</v>
      </c>
      <c r="AB68" s="2">
        <v>44.88</v>
      </c>
      <c r="AD68" s="136">
        <v>35</v>
      </c>
      <c r="AE68" s="136">
        <v>44.95</v>
      </c>
      <c r="AF68" s="136">
        <v>44.7</v>
      </c>
    </row>
    <row r="69" spans="2:32" x14ac:dyDescent="0.3">
      <c r="B69" s="1">
        <v>34</v>
      </c>
      <c r="C69" s="2">
        <v>44.6</v>
      </c>
      <c r="D69" s="2">
        <v>44.39</v>
      </c>
      <c r="E69" s="2">
        <v>44.106193189526522</v>
      </c>
      <c r="G69" s="1">
        <v>34</v>
      </c>
      <c r="H69" s="2">
        <v>44.6</v>
      </c>
      <c r="I69" s="2">
        <v>44.38</v>
      </c>
      <c r="J69" s="4">
        <v>44.1</v>
      </c>
      <c r="K69" s="5"/>
      <c r="L69" s="6">
        <v>34</v>
      </c>
      <c r="M69" s="2">
        <v>45.5</v>
      </c>
      <c r="N69" s="2">
        <v>45.48</v>
      </c>
      <c r="O69" s="2">
        <v>44.106193189526522</v>
      </c>
      <c r="Q69" s="1">
        <v>34</v>
      </c>
      <c r="R69" s="2">
        <v>44.57</v>
      </c>
      <c r="S69" s="2">
        <v>44.39</v>
      </c>
      <c r="T69" s="2">
        <v>44.106193189526522</v>
      </c>
      <c r="V69" s="1">
        <v>34</v>
      </c>
      <c r="W69" s="2">
        <v>44.59</v>
      </c>
      <c r="X69" s="2">
        <v>44.39</v>
      </c>
      <c r="Y69" s="2">
        <v>44.106193189526522</v>
      </c>
      <c r="AA69" s="1">
        <v>34</v>
      </c>
      <c r="AB69" s="2">
        <v>44.5</v>
      </c>
      <c r="AD69" s="136">
        <v>34</v>
      </c>
      <c r="AE69" s="136">
        <v>44.6</v>
      </c>
      <c r="AF69" s="136">
        <v>44.38</v>
      </c>
    </row>
    <row r="70" spans="2:32" x14ac:dyDescent="0.3">
      <c r="B70" s="1">
        <v>33</v>
      </c>
      <c r="C70" s="2">
        <v>44.23</v>
      </c>
      <c r="D70" s="2">
        <v>44.07</v>
      </c>
      <c r="E70" s="2">
        <v>43.84103242436575</v>
      </c>
      <c r="G70" s="1">
        <v>33</v>
      </c>
      <c r="H70" s="2">
        <v>44.23</v>
      </c>
      <c r="I70" s="2">
        <v>44.07</v>
      </c>
      <c r="J70" s="4">
        <v>43.84</v>
      </c>
      <c r="K70" s="5"/>
      <c r="L70" s="6">
        <v>33</v>
      </c>
      <c r="M70" s="2">
        <v>45.13</v>
      </c>
      <c r="N70" s="2">
        <v>45.17</v>
      </c>
      <c r="O70" s="2">
        <v>43.84103242436575</v>
      </c>
      <c r="Q70" s="1">
        <v>33</v>
      </c>
      <c r="R70" s="2">
        <v>44.22</v>
      </c>
      <c r="S70" s="2">
        <v>44.07</v>
      </c>
      <c r="T70" s="2">
        <v>43.84103242436575</v>
      </c>
      <c r="V70" s="1">
        <v>33</v>
      </c>
      <c r="W70" s="2">
        <v>44.24</v>
      </c>
      <c r="X70" s="2">
        <v>44.08</v>
      </c>
      <c r="Y70" s="2">
        <v>43.84103242436575</v>
      </c>
      <c r="AA70" s="1">
        <v>33</v>
      </c>
      <c r="AB70" s="2">
        <v>44.25</v>
      </c>
      <c r="AD70" s="136">
        <v>33</v>
      </c>
      <c r="AE70" s="136">
        <v>44.23</v>
      </c>
      <c r="AF70" s="136">
        <v>44.07</v>
      </c>
    </row>
    <row r="71" spans="2:32" x14ac:dyDescent="0.3">
      <c r="B71" s="1">
        <v>32</v>
      </c>
      <c r="C71" s="2">
        <v>43.9</v>
      </c>
      <c r="D71" s="2">
        <v>43.78</v>
      </c>
      <c r="E71" s="2">
        <v>43.575871659204985</v>
      </c>
      <c r="G71" s="1">
        <v>32</v>
      </c>
      <c r="H71" s="2">
        <v>43.9</v>
      </c>
      <c r="I71" s="2">
        <v>43.78</v>
      </c>
      <c r="J71" s="4">
        <v>43.57</v>
      </c>
      <c r="K71" s="5"/>
      <c r="L71" s="6">
        <v>32</v>
      </c>
      <c r="M71" s="2">
        <v>44.8</v>
      </c>
      <c r="N71" s="2">
        <v>44.88</v>
      </c>
      <c r="O71" s="2">
        <v>43.575871659204985</v>
      </c>
      <c r="Q71" s="1">
        <v>32</v>
      </c>
      <c r="R71" s="2">
        <v>43.88</v>
      </c>
      <c r="S71" s="2">
        <v>43.78</v>
      </c>
      <c r="T71" s="2">
        <v>43.575871659204985</v>
      </c>
      <c r="V71" s="1">
        <v>32</v>
      </c>
      <c r="W71" s="2">
        <v>43.91</v>
      </c>
      <c r="X71" s="2">
        <v>43.79</v>
      </c>
      <c r="Y71" s="2">
        <v>43.575871659204985</v>
      </c>
      <c r="AA71" s="1">
        <v>32</v>
      </c>
      <c r="AB71" s="2">
        <v>44</v>
      </c>
      <c r="AD71" s="136">
        <v>32</v>
      </c>
      <c r="AE71" s="136">
        <v>43.9</v>
      </c>
      <c r="AF71" s="136">
        <v>43.78</v>
      </c>
    </row>
    <row r="72" spans="2:32" x14ac:dyDescent="0.3">
      <c r="B72" s="1">
        <v>31</v>
      </c>
      <c r="C72" s="2">
        <v>43.57</v>
      </c>
      <c r="D72" s="2">
        <v>43.49</v>
      </c>
      <c r="E72" s="2">
        <v>43.328612128612122</v>
      </c>
      <c r="G72" s="1">
        <v>31</v>
      </c>
      <c r="H72" s="2">
        <v>43.56</v>
      </c>
      <c r="I72" s="2">
        <v>43.48</v>
      </c>
      <c r="J72" s="4">
        <v>43.32</v>
      </c>
      <c r="K72" s="5"/>
      <c r="L72" s="6">
        <v>31</v>
      </c>
      <c r="M72" s="2">
        <v>44.47</v>
      </c>
      <c r="N72" s="2">
        <v>44.59</v>
      </c>
      <c r="O72" s="2">
        <v>43.328612128612122</v>
      </c>
      <c r="Q72" s="1">
        <v>31</v>
      </c>
      <c r="R72" s="2">
        <v>43.55</v>
      </c>
      <c r="S72" s="2">
        <v>43.49</v>
      </c>
      <c r="T72" s="2">
        <v>43.328612128612122</v>
      </c>
      <c r="V72" s="1">
        <v>31</v>
      </c>
      <c r="W72" s="2">
        <v>43.56</v>
      </c>
      <c r="X72" s="2">
        <v>43.49</v>
      </c>
      <c r="Y72" s="2">
        <v>43.328612128612122</v>
      </c>
      <c r="AA72" s="1">
        <v>31</v>
      </c>
      <c r="AB72" s="2">
        <v>43.63</v>
      </c>
      <c r="AD72" s="136">
        <v>31</v>
      </c>
      <c r="AE72" s="136">
        <v>43.56</v>
      </c>
      <c r="AF72" s="136">
        <v>43.48</v>
      </c>
    </row>
    <row r="73" spans="2:32" x14ac:dyDescent="0.3">
      <c r="B73" s="1">
        <v>30</v>
      </c>
      <c r="C73" s="2">
        <v>43.26</v>
      </c>
      <c r="D73" s="2">
        <v>43.17</v>
      </c>
      <c r="E73" s="2">
        <v>43.062834079500739</v>
      </c>
      <c r="G73" s="1">
        <v>30</v>
      </c>
      <c r="H73" s="2">
        <v>43.25</v>
      </c>
      <c r="I73" s="2">
        <v>43.16</v>
      </c>
      <c r="J73" s="4">
        <v>43.06</v>
      </c>
      <c r="K73" s="5"/>
      <c r="L73" s="6">
        <v>30</v>
      </c>
      <c r="M73" s="2">
        <v>44.16</v>
      </c>
      <c r="N73" s="2">
        <v>44.27</v>
      </c>
      <c r="O73" s="2">
        <v>43.062834079500739</v>
      </c>
      <c r="Q73" s="1">
        <v>30</v>
      </c>
      <c r="R73" s="2">
        <v>43.23</v>
      </c>
      <c r="S73" s="2">
        <v>43.17</v>
      </c>
      <c r="T73" s="2">
        <v>43.062834079500739</v>
      </c>
      <c r="V73" s="1">
        <v>30</v>
      </c>
      <c r="W73" s="2">
        <v>43.26</v>
      </c>
      <c r="X73" s="2">
        <v>43.15</v>
      </c>
      <c r="Y73" s="2">
        <v>43.062834079500739</v>
      </c>
      <c r="AA73" s="1">
        <v>30</v>
      </c>
      <c r="AB73" s="2">
        <v>43.38</v>
      </c>
      <c r="AD73" s="136">
        <v>30</v>
      </c>
      <c r="AE73" s="136">
        <v>43.25</v>
      </c>
      <c r="AF73" s="136">
        <v>43.16</v>
      </c>
    </row>
    <row r="74" spans="2:32" x14ac:dyDescent="0.3">
      <c r="B74" s="1">
        <v>29</v>
      </c>
      <c r="C74" s="2">
        <v>42.97</v>
      </c>
      <c r="D74" s="2">
        <v>42.81</v>
      </c>
      <c r="E74" s="2">
        <v>42.858167141500466</v>
      </c>
      <c r="G74" s="1">
        <v>29</v>
      </c>
      <c r="H74" s="2">
        <v>42.96</v>
      </c>
      <c r="I74" s="2">
        <v>42.81</v>
      </c>
      <c r="J74" s="4">
        <v>42.85</v>
      </c>
      <c r="K74" s="5"/>
      <c r="L74" s="6">
        <v>29</v>
      </c>
      <c r="M74" s="2">
        <v>43.87</v>
      </c>
      <c r="N74" s="2">
        <v>43.91</v>
      </c>
      <c r="O74" s="2">
        <v>42.858167141500466</v>
      </c>
      <c r="Q74" s="1">
        <v>29</v>
      </c>
      <c r="R74" s="2">
        <v>42.95</v>
      </c>
      <c r="S74" s="2">
        <v>42.81</v>
      </c>
      <c r="T74" s="2">
        <v>42.858167141500466</v>
      </c>
      <c r="V74" s="1">
        <v>29</v>
      </c>
      <c r="W74" s="2">
        <v>42.97</v>
      </c>
      <c r="X74" s="2">
        <v>42.81</v>
      </c>
      <c r="Y74" s="2">
        <v>42.858167141500466</v>
      </c>
      <c r="AA74" s="1">
        <v>29</v>
      </c>
      <c r="AB74" s="2">
        <v>43</v>
      </c>
      <c r="AD74" s="136">
        <v>29</v>
      </c>
      <c r="AE74" s="136">
        <v>42.96</v>
      </c>
      <c r="AF74" s="136">
        <v>42.81</v>
      </c>
    </row>
    <row r="75" spans="2:32" x14ac:dyDescent="0.3">
      <c r="B75" s="1">
        <v>28</v>
      </c>
      <c r="C75" s="2">
        <v>42.63</v>
      </c>
      <c r="D75" s="2">
        <v>42.47</v>
      </c>
      <c r="E75" s="2">
        <v>42.669373219373213</v>
      </c>
      <c r="G75" s="1">
        <v>28</v>
      </c>
      <c r="H75" s="2">
        <v>42.63</v>
      </c>
      <c r="I75" s="2">
        <v>42.46</v>
      </c>
      <c r="J75" s="4">
        <v>42.66</v>
      </c>
      <c r="K75" s="5"/>
      <c r="L75" s="6">
        <v>28</v>
      </c>
      <c r="M75" s="2">
        <v>43.53</v>
      </c>
      <c r="N75" s="2">
        <v>43.57</v>
      </c>
      <c r="O75" s="2">
        <v>42.669373219373213</v>
      </c>
      <c r="Q75" s="1">
        <v>28</v>
      </c>
      <c r="R75" s="2">
        <v>42.62</v>
      </c>
      <c r="S75" s="2">
        <v>42.47</v>
      </c>
      <c r="T75" s="2">
        <v>42.669373219373213</v>
      </c>
      <c r="V75" s="1">
        <v>28</v>
      </c>
      <c r="W75" s="2">
        <v>42.63</v>
      </c>
      <c r="X75" s="2">
        <v>42.49</v>
      </c>
      <c r="Y75" s="2">
        <v>42.669373219373213</v>
      </c>
      <c r="AA75" s="1">
        <v>28</v>
      </c>
      <c r="AB75" s="2">
        <v>42.75</v>
      </c>
      <c r="AD75" s="136">
        <v>28</v>
      </c>
      <c r="AE75" s="136">
        <v>42.63</v>
      </c>
      <c r="AF75" s="136">
        <v>42.46</v>
      </c>
    </row>
    <row r="76" spans="2:32" x14ac:dyDescent="0.3">
      <c r="B76" s="1">
        <v>27</v>
      </c>
      <c r="C76" s="2">
        <v>42.28</v>
      </c>
      <c r="D76" s="2">
        <v>42.11</v>
      </c>
      <c r="E76" s="2">
        <v>42.480579297245953</v>
      </c>
      <c r="G76" s="1">
        <v>27</v>
      </c>
      <c r="H76" s="2">
        <v>42.27</v>
      </c>
      <c r="I76" s="2">
        <v>42.11</v>
      </c>
      <c r="J76" s="4">
        <v>42.48</v>
      </c>
      <c r="K76" s="5"/>
      <c r="L76" s="6">
        <v>27</v>
      </c>
      <c r="M76" s="2">
        <v>43.18</v>
      </c>
      <c r="N76" s="2">
        <v>43.21</v>
      </c>
      <c r="O76" s="2">
        <v>42.480579297245953</v>
      </c>
      <c r="Q76" s="1">
        <v>27</v>
      </c>
      <c r="R76" s="2">
        <v>42.27</v>
      </c>
      <c r="S76" s="2">
        <v>42.11</v>
      </c>
      <c r="T76" s="2">
        <v>42.480579297245953</v>
      </c>
      <c r="V76" s="1">
        <v>27</v>
      </c>
      <c r="W76" s="2">
        <v>42.27</v>
      </c>
      <c r="X76" s="2">
        <v>42.1</v>
      </c>
      <c r="Y76" s="2">
        <v>42.480579297245953</v>
      </c>
      <c r="AA76" s="1">
        <v>27</v>
      </c>
      <c r="AB76" s="2">
        <v>42.5</v>
      </c>
      <c r="AD76" s="136">
        <v>27</v>
      </c>
      <c r="AE76" s="136">
        <v>42.27</v>
      </c>
      <c r="AF76" s="136">
        <v>42.11</v>
      </c>
    </row>
    <row r="77" spans="2:32" x14ac:dyDescent="0.3">
      <c r="B77" s="1">
        <v>26</v>
      </c>
      <c r="C77" s="2">
        <v>41.94</v>
      </c>
      <c r="D77" s="2">
        <v>41.76</v>
      </c>
      <c r="E77" s="2">
        <v>42.267711301044628</v>
      </c>
      <c r="G77" s="1">
        <v>26</v>
      </c>
      <c r="H77" s="2">
        <v>41.93</v>
      </c>
      <c r="I77" s="2">
        <v>41.76</v>
      </c>
      <c r="J77" s="4">
        <v>42.26</v>
      </c>
      <c r="K77" s="5"/>
      <c r="L77" s="6">
        <v>26</v>
      </c>
      <c r="M77" s="2">
        <v>42.84</v>
      </c>
      <c r="N77" s="2">
        <v>42.86</v>
      </c>
      <c r="O77" s="2">
        <v>42.267711301044628</v>
      </c>
      <c r="Q77" s="1">
        <v>26</v>
      </c>
      <c r="R77" s="2">
        <v>41.93</v>
      </c>
      <c r="S77" s="2">
        <v>41.76</v>
      </c>
      <c r="T77" s="2">
        <v>42.267711301044628</v>
      </c>
      <c r="V77" s="1">
        <v>26</v>
      </c>
      <c r="W77" s="2">
        <v>41.94</v>
      </c>
      <c r="X77" s="2">
        <v>41.75</v>
      </c>
      <c r="Y77" s="2">
        <v>42.267711301044628</v>
      </c>
      <c r="AA77" s="1">
        <v>26</v>
      </c>
      <c r="AB77" s="2">
        <v>41.75</v>
      </c>
      <c r="AD77" s="136">
        <v>26</v>
      </c>
      <c r="AE77" s="136">
        <v>41.93</v>
      </c>
      <c r="AF77" s="136">
        <v>41.76</v>
      </c>
    </row>
    <row r="78" spans="2:32" x14ac:dyDescent="0.3">
      <c r="B78" s="1">
        <v>25</v>
      </c>
      <c r="C78" s="2">
        <v>41.59</v>
      </c>
      <c r="D78" s="2">
        <v>41.42</v>
      </c>
      <c r="E78" s="2">
        <v>42.064102564102555</v>
      </c>
      <c r="G78" s="1">
        <v>25</v>
      </c>
      <c r="H78" s="2">
        <v>41.59</v>
      </c>
      <c r="I78" s="2">
        <v>41.41</v>
      </c>
      <c r="J78" s="4">
        <v>42.06</v>
      </c>
      <c r="K78" s="5"/>
      <c r="L78" s="6">
        <v>25</v>
      </c>
      <c r="M78" s="2">
        <v>42.49</v>
      </c>
      <c r="N78" s="2">
        <v>42.51</v>
      </c>
      <c r="O78" s="2">
        <v>42.064102564102555</v>
      </c>
      <c r="Q78" s="1">
        <v>25</v>
      </c>
      <c r="R78" s="2">
        <v>41.59</v>
      </c>
      <c r="S78" s="2">
        <v>41.42</v>
      </c>
      <c r="T78" s="2">
        <v>42.064102564102555</v>
      </c>
      <c r="V78" s="1">
        <v>25</v>
      </c>
      <c r="W78" s="2">
        <v>41.59</v>
      </c>
      <c r="X78" s="2">
        <v>41.44</v>
      </c>
      <c r="Y78" s="2">
        <v>42.064102564102555</v>
      </c>
      <c r="AA78" s="1">
        <v>25</v>
      </c>
      <c r="AB78" s="2">
        <v>41.63</v>
      </c>
      <c r="AD78" s="136">
        <v>25</v>
      </c>
      <c r="AE78" s="136">
        <v>41.59</v>
      </c>
      <c r="AF78" s="136">
        <v>41.41</v>
      </c>
    </row>
    <row r="79" spans="2:32" x14ac:dyDescent="0.3">
      <c r="B79" s="1">
        <v>24</v>
      </c>
      <c r="C79" s="2">
        <v>41.25</v>
      </c>
      <c r="D79" s="2">
        <v>41.1</v>
      </c>
      <c r="E79" s="2">
        <v>41.854938271604937</v>
      </c>
      <c r="G79" s="1">
        <v>24</v>
      </c>
      <c r="H79" s="2">
        <v>41.24</v>
      </c>
      <c r="I79" s="2">
        <v>41.1</v>
      </c>
      <c r="J79" s="4">
        <v>41.85</v>
      </c>
      <c r="K79" s="5"/>
      <c r="L79" s="6">
        <v>24</v>
      </c>
      <c r="M79" s="2">
        <v>42.15</v>
      </c>
      <c r="N79" s="2">
        <v>42.2</v>
      </c>
      <c r="O79" s="2">
        <v>41.854938271604937</v>
      </c>
      <c r="Q79" s="1">
        <v>24</v>
      </c>
      <c r="R79" s="2">
        <v>41.25</v>
      </c>
      <c r="S79" s="2">
        <v>41.1</v>
      </c>
      <c r="T79" s="2">
        <v>41.854938271604937</v>
      </c>
      <c r="V79" s="1">
        <v>24</v>
      </c>
      <c r="W79" s="2">
        <v>41.25</v>
      </c>
      <c r="X79" s="2">
        <v>41.1</v>
      </c>
      <c r="Y79" s="2">
        <v>41.854938271604937</v>
      </c>
      <c r="AA79" s="1">
        <v>24</v>
      </c>
      <c r="AB79" s="2">
        <v>41.25</v>
      </c>
      <c r="AD79" s="136">
        <v>24</v>
      </c>
      <c r="AE79" s="136">
        <v>41.24</v>
      </c>
      <c r="AF79" s="136">
        <v>41.1</v>
      </c>
    </row>
    <row r="80" spans="2:32" x14ac:dyDescent="0.3">
      <c r="B80" s="1">
        <v>23</v>
      </c>
      <c r="C80" s="2">
        <v>40.9</v>
      </c>
      <c r="D80" s="2">
        <v>40.79</v>
      </c>
      <c r="E80" s="2">
        <v>41.660493827160494</v>
      </c>
      <c r="G80" s="1">
        <v>23</v>
      </c>
      <c r="H80" s="2">
        <v>40.9</v>
      </c>
      <c r="I80" s="2">
        <v>40.79</v>
      </c>
      <c r="J80" s="4">
        <v>41.66</v>
      </c>
      <c r="K80" s="5"/>
      <c r="L80" s="6">
        <v>23</v>
      </c>
      <c r="M80" s="2">
        <v>41.8</v>
      </c>
      <c r="N80" s="2">
        <v>41.89</v>
      </c>
      <c r="O80" s="2">
        <v>41.660493827160494</v>
      </c>
      <c r="Q80" s="1">
        <v>23</v>
      </c>
      <c r="R80" s="2">
        <v>40.89</v>
      </c>
      <c r="S80" s="2">
        <v>40.79</v>
      </c>
      <c r="T80" s="2">
        <v>41.660493827160494</v>
      </c>
      <c r="V80" s="1">
        <v>23</v>
      </c>
      <c r="W80" s="2">
        <v>40.909999999999997</v>
      </c>
      <c r="X80" s="2">
        <v>40.79</v>
      </c>
      <c r="Y80" s="2">
        <v>41.660493827160494</v>
      </c>
      <c r="AA80" s="1">
        <v>23</v>
      </c>
      <c r="AB80" s="2">
        <v>41</v>
      </c>
      <c r="AD80" s="136">
        <v>23</v>
      </c>
      <c r="AE80" s="136">
        <v>40.9</v>
      </c>
      <c r="AF80" s="136">
        <v>40.79</v>
      </c>
    </row>
    <row r="81" spans="2:32" x14ac:dyDescent="0.3">
      <c r="B81" s="1">
        <v>22</v>
      </c>
      <c r="C81" s="2">
        <v>40.54</v>
      </c>
      <c r="D81" s="2">
        <v>40.479999999999997</v>
      </c>
      <c r="E81" s="2">
        <v>41.45326278659612</v>
      </c>
      <c r="G81" s="1">
        <v>22</v>
      </c>
      <c r="H81" s="2">
        <v>40.54</v>
      </c>
      <c r="I81" s="2">
        <v>40.47</v>
      </c>
      <c r="J81" s="4">
        <v>41.45</v>
      </c>
      <c r="K81" s="5"/>
      <c r="L81" s="6">
        <v>22</v>
      </c>
      <c r="M81" s="2">
        <v>41.44</v>
      </c>
      <c r="N81" s="2">
        <v>41.58</v>
      </c>
      <c r="O81" s="2">
        <v>41.45326278659612</v>
      </c>
      <c r="Q81" s="1">
        <v>22</v>
      </c>
      <c r="R81" s="2">
        <v>40.51</v>
      </c>
      <c r="S81" s="2">
        <v>40.479999999999997</v>
      </c>
      <c r="T81" s="2">
        <v>41.45326278659612</v>
      </c>
      <c r="V81" s="1">
        <v>22</v>
      </c>
      <c r="W81" s="2">
        <v>40.53</v>
      </c>
      <c r="X81" s="2">
        <v>40.49</v>
      </c>
      <c r="Y81" s="2">
        <v>41.45326278659612</v>
      </c>
      <c r="AA81" s="1">
        <v>22</v>
      </c>
      <c r="AB81" s="2">
        <v>40.75</v>
      </c>
      <c r="AD81" s="136">
        <v>22</v>
      </c>
      <c r="AE81" s="136">
        <v>40.54</v>
      </c>
      <c r="AF81" s="136">
        <v>40.47</v>
      </c>
    </row>
    <row r="82" spans="2:32" x14ac:dyDescent="0.3">
      <c r="B82" s="1">
        <v>21</v>
      </c>
      <c r="C82" s="2">
        <v>40.18</v>
      </c>
      <c r="D82" s="2">
        <v>40.14</v>
      </c>
      <c r="E82" s="2">
        <v>41.218253968253961</v>
      </c>
      <c r="G82" s="1">
        <v>21</v>
      </c>
      <c r="H82" s="2">
        <v>40.18</v>
      </c>
      <c r="I82" s="2">
        <v>40.14</v>
      </c>
      <c r="J82" s="4">
        <v>41.21</v>
      </c>
      <c r="K82" s="5"/>
      <c r="L82" s="6">
        <v>21</v>
      </c>
      <c r="M82" s="2">
        <v>41.08</v>
      </c>
      <c r="N82" s="2">
        <v>41.24</v>
      </c>
      <c r="O82" s="2">
        <v>41.218253968253961</v>
      </c>
      <c r="Q82" s="1">
        <v>21</v>
      </c>
      <c r="R82" s="2">
        <v>40.159999999999997</v>
      </c>
      <c r="S82" s="2">
        <v>40.15</v>
      </c>
      <c r="T82" s="2">
        <v>41.218253968253961</v>
      </c>
      <c r="V82" s="1">
        <v>21</v>
      </c>
      <c r="W82" s="2">
        <v>40.19</v>
      </c>
      <c r="X82" s="2">
        <v>40.130000000000003</v>
      </c>
      <c r="Y82" s="2">
        <v>41.218253968253961</v>
      </c>
      <c r="AA82" s="1">
        <v>21</v>
      </c>
      <c r="AB82" s="2">
        <v>40.130000000000003</v>
      </c>
      <c r="AD82" s="136">
        <v>21</v>
      </c>
      <c r="AE82" s="136">
        <v>40.18</v>
      </c>
      <c r="AF82" s="136">
        <v>40.14</v>
      </c>
    </row>
    <row r="83" spans="2:32" x14ac:dyDescent="0.3">
      <c r="B83" s="1">
        <v>20</v>
      </c>
      <c r="C83" s="2">
        <v>39.840000000000003</v>
      </c>
      <c r="D83" s="2">
        <v>39.81</v>
      </c>
      <c r="E83" s="2">
        <v>40.973985890652557</v>
      </c>
      <c r="G83" s="1">
        <v>20</v>
      </c>
      <c r="H83" s="2">
        <v>39.840000000000003</v>
      </c>
      <c r="I83" s="2">
        <v>39.799999999999997</v>
      </c>
      <c r="J83" s="4">
        <v>40.97</v>
      </c>
      <c r="K83" s="5"/>
      <c r="L83" s="6">
        <v>20</v>
      </c>
      <c r="M83" s="2">
        <v>40.74</v>
      </c>
      <c r="N83" s="2">
        <v>40.909999999999997</v>
      </c>
      <c r="O83" s="2">
        <v>40.973985890652557</v>
      </c>
      <c r="Q83" s="1">
        <v>20</v>
      </c>
      <c r="R83" s="2">
        <v>39.83</v>
      </c>
      <c r="S83" s="2">
        <v>39.81</v>
      </c>
      <c r="T83" s="2">
        <v>40.973985890652557</v>
      </c>
      <c r="V83" s="1">
        <v>20</v>
      </c>
      <c r="W83" s="2">
        <v>39.85</v>
      </c>
      <c r="X83" s="2">
        <v>39.81</v>
      </c>
      <c r="Y83" s="2">
        <v>40.973985890652557</v>
      </c>
      <c r="AA83" s="1">
        <v>20</v>
      </c>
      <c r="AB83" s="2">
        <v>39.880000000000003</v>
      </c>
      <c r="AD83" s="136">
        <v>20</v>
      </c>
      <c r="AE83" s="136">
        <v>39.840000000000003</v>
      </c>
      <c r="AF83" s="136">
        <v>39.799999999999997</v>
      </c>
    </row>
    <row r="84" spans="2:32" x14ac:dyDescent="0.3">
      <c r="B84" s="1">
        <v>19</v>
      </c>
      <c r="C84" s="2">
        <v>39.49</v>
      </c>
      <c r="D84" s="2">
        <v>39.450000000000003</v>
      </c>
      <c r="E84" s="2">
        <v>40.748236331569657</v>
      </c>
      <c r="G84" s="1">
        <v>19</v>
      </c>
      <c r="H84" s="2">
        <v>39.49</v>
      </c>
      <c r="I84" s="2">
        <v>39.450000000000003</v>
      </c>
      <c r="J84" s="4">
        <v>40.74</v>
      </c>
      <c r="K84" s="5"/>
      <c r="L84" s="6">
        <v>19</v>
      </c>
      <c r="M84" s="2">
        <v>40.39</v>
      </c>
      <c r="N84" s="2">
        <v>40.549999999999997</v>
      </c>
      <c r="O84" s="2">
        <v>40.748236331569657</v>
      </c>
      <c r="Q84" s="1">
        <v>19</v>
      </c>
      <c r="R84" s="2">
        <v>39.479999999999997</v>
      </c>
      <c r="S84" s="2">
        <v>39.43</v>
      </c>
      <c r="T84" s="2">
        <v>40.748236331569657</v>
      </c>
      <c r="V84" s="1">
        <v>19</v>
      </c>
      <c r="W84" s="2">
        <v>39.479999999999997</v>
      </c>
      <c r="X84" s="2">
        <v>39.46</v>
      </c>
      <c r="Y84" s="2">
        <v>40.748236331569657</v>
      </c>
      <c r="AA84" s="1">
        <v>19</v>
      </c>
      <c r="AB84" s="2">
        <v>39.880000000000003</v>
      </c>
      <c r="AD84" s="136">
        <v>19</v>
      </c>
      <c r="AE84" s="136">
        <v>39.49</v>
      </c>
      <c r="AF84" s="136">
        <v>39.450000000000003</v>
      </c>
    </row>
    <row r="85" spans="2:32" x14ac:dyDescent="0.3">
      <c r="B85" s="1">
        <v>18</v>
      </c>
      <c r="C85" s="2">
        <v>39.130000000000003</v>
      </c>
      <c r="D85" s="2">
        <v>39.090000000000003</v>
      </c>
      <c r="E85" s="2">
        <v>40.513227513227513</v>
      </c>
      <c r="G85" s="1">
        <v>18</v>
      </c>
      <c r="H85" s="2">
        <v>39.130000000000003</v>
      </c>
      <c r="I85" s="2">
        <v>39.090000000000003</v>
      </c>
      <c r="J85" s="4">
        <v>40.51</v>
      </c>
      <c r="K85" s="5"/>
      <c r="L85" s="6">
        <v>18</v>
      </c>
      <c r="M85" s="2">
        <v>40.03</v>
      </c>
      <c r="N85" s="2">
        <v>40.19</v>
      </c>
      <c r="O85" s="2">
        <v>40.513227513227513</v>
      </c>
      <c r="Q85" s="1">
        <v>18</v>
      </c>
      <c r="R85" s="2">
        <v>39.130000000000003</v>
      </c>
      <c r="S85" s="2">
        <v>39.049999999999997</v>
      </c>
      <c r="T85" s="2">
        <v>40.513227513227513</v>
      </c>
      <c r="V85" s="1">
        <v>18</v>
      </c>
      <c r="W85" s="2">
        <v>39.130000000000003</v>
      </c>
      <c r="X85" s="2">
        <v>39.08</v>
      </c>
      <c r="Y85" s="2">
        <v>40.513227513227513</v>
      </c>
      <c r="AA85" s="1">
        <v>18</v>
      </c>
      <c r="AB85" s="2">
        <v>39.130000000000003</v>
      </c>
      <c r="AD85" s="136">
        <v>18</v>
      </c>
      <c r="AE85" s="136">
        <v>39.130000000000003</v>
      </c>
      <c r="AF85" s="136">
        <v>39.090000000000003</v>
      </c>
    </row>
    <row r="86" spans="2:32" x14ac:dyDescent="0.3">
      <c r="B86" s="1">
        <v>17</v>
      </c>
      <c r="C86" s="2">
        <v>38.76</v>
      </c>
      <c r="D86" s="2">
        <v>38.79</v>
      </c>
      <c r="E86" s="2">
        <v>40.292416225749555</v>
      </c>
      <c r="G86" s="1">
        <v>17</v>
      </c>
      <c r="H86" s="2">
        <v>38.75</v>
      </c>
      <c r="I86" s="2">
        <v>38.78</v>
      </c>
      <c r="J86" s="4">
        <v>40.29</v>
      </c>
      <c r="K86" s="5"/>
      <c r="L86" s="6">
        <v>17</v>
      </c>
      <c r="M86" s="2">
        <v>39.659999999999997</v>
      </c>
      <c r="N86" s="2">
        <v>39.880000000000003</v>
      </c>
      <c r="O86" s="2">
        <v>40.292416225749555</v>
      </c>
      <c r="Q86" s="1">
        <v>17</v>
      </c>
      <c r="R86" s="2">
        <v>38.76</v>
      </c>
      <c r="S86" s="2">
        <v>38.75</v>
      </c>
      <c r="T86" s="2">
        <v>40.292416225749555</v>
      </c>
      <c r="V86" s="1">
        <v>17</v>
      </c>
      <c r="W86" s="2">
        <v>38.770000000000003</v>
      </c>
      <c r="X86" s="2">
        <v>38.799999999999997</v>
      </c>
      <c r="Y86" s="2">
        <v>40.292416225749555</v>
      </c>
      <c r="AA86" s="1">
        <v>17</v>
      </c>
      <c r="AB86" s="2">
        <v>38.880000000000003</v>
      </c>
      <c r="AD86" s="136">
        <v>17</v>
      </c>
      <c r="AE86" s="136">
        <v>38.75</v>
      </c>
      <c r="AF86" s="136">
        <v>38.78</v>
      </c>
    </row>
    <row r="87" spans="2:32" x14ac:dyDescent="0.3">
      <c r="B87" s="1">
        <v>16</v>
      </c>
      <c r="C87" s="2">
        <v>38.39</v>
      </c>
      <c r="D87" s="2">
        <v>38.479999999999997</v>
      </c>
      <c r="E87" s="2">
        <v>40.080864197530865</v>
      </c>
      <c r="G87" s="1">
        <v>16</v>
      </c>
      <c r="H87" s="2">
        <v>38.39</v>
      </c>
      <c r="I87" s="2">
        <v>38.47</v>
      </c>
      <c r="J87" s="4">
        <v>40.08</v>
      </c>
      <c r="K87" s="5"/>
      <c r="L87" s="6">
        <v>16</v>
      </c>
      <c r="M87" s="2">
        <v>39.29</v>
      </c>
      <c r="N87" s="2">
        <v>39.57</v>
      </c>
      <c r="O87" s="2">
        <v>40.080864197530865</v>
      </c>
      <c r="Q87" s="1">
        <v>16</v>
      </c>
      <c r="R87" s="2">
        <v>38.39</v>
      </c>
      <c r="S87" s="2">
        <v>38.450000000000003</v>
      </c>
      <c r="T87" s="2">
        <v>40.080864197530865</v>
      </c>
      <c r="V87" s="1">
        <v>16</v>
      </c>
      <c r="W87" s="2">
        <v>38.39</v>
      </c>
      <c r="X87" s="2">
        <v>38.479999999999997</v>
      </c>
      <c r="Y87" s="2">
        <v>40.080864197530865</v>
      </c>
      <c r="AA87" s="1">
        <v>16</v>
      </c>
      <c r="AB87" s="2">
        <v>38.880000000000003</v>
      </c>
      <c r="AD87" s="136">
        <v>16</v>
      </c>
      <c r="AE87" s="136">
        <v>38.39</v>
      </c>
      <c r="AF87" s="136">
        <v>38.47</v>
      </c>
    </row>
    <row r="88" spans="2:32" x14ac:dyDescent="0.3">
      <c r="B88" s="1">
        <v>15</v>
      </c>
      <c r="C88" s="2">
        <v>38.04</v>
      </c>
      <c r="D88" s="2">
        <v>38.15</v>
      </c>
      <c r="E88" s="2">
        <v>39.885185185185179</v>
      </c>
      <c r="G88" s="1">
        <v>15</v>
      </c>
      <c r="H88" s="2">
        <v>38.04</v>
      </c>
      <c r="I88" s="2">
        <v>38.14</v>
      </c>
      <c r="J88" s="4">
        <v>39.880000000000003</v>
      </c>
      <c r="K88" s="5"/>
      <c r="L88" s="6">
        <v>15</v>
      </c>
      <c r="M88" s="2">
        <v>38.94</v>
      </c>
      <c r="N88" s="2">
        <v>39.25</v>
      </c>
      <c r="O88" s="2">
        <v>39.885185185185179</v>
      </c>
      <c r="Q88" s="1">
        <v>15</v>
      </c>
      <c r="R88" s="2">
        <v>38.04</v>
      </c>
      <c r="S88" s="2">
        <v>38.130000000000003</v>
      </c>
      <c r="T88" s="2">
        <v>39.885185185185179</v>
      </c>
      <c r="V88" s="1">
        <v>15</v>
      </c>
      <c r="W88" s="2">
        <v>38.03</v>
      </c>
      <c r="X88" s="2">
        <v>38.14</v>
      </c>
      <c r="Y88" s="2">
        <v>39.885185185185179</v>
      </c>
      <c r="AA88" s="1">
        <v>15</v>
      </c>
      <c r="AB88" s="2">
        <v>38.25</v>
      </c>
      <c r="AD88" s="136">
        <v>15</v>
      </c>
      <c r="AE88" s="136">
        <v>38.04</v>
      </c>
      <c r="AF88" s="136">
        <v>38.14</v>
      </c>
    </row>
    <row r="89" spans="2:32" x14ac:dyDescent="0.3">
      <c r="B89" s="1">
        <v>14</v>
      </c>
      <c r="C89" s="2">
        <v>37.659999999999997</v>
      </c>
      <c r="D89" s="2">
        <v>37.840000000000003</v>
      </c>
      <c r="E89" s="2">
        <v>39.683333333333337</v>
      </c>
      <c r="G89" s="1">
        <v>14</v>
      </c>
      <c r="H89" s="2">
        <v>37.65</v>
      </c>
      <c r="I89" s="2">
        <v>37.840000000000003</v>
      </c>
      <c r="J89" s="4">
        <v>39.68</v>
      </c>
      <c r="K89" s="5"/>
      <c r="L89" s="6">
        <v>14</v>
      </c>
      <c r="M89" s="2">
        <v>38.56</v>
      </c>
      <c r="N89" s="2">
        <v>38.94</v>
      </c>
      <c r="O89" s="2">
        <v>39.683333333333337</v>
      </c>
      <c r="Q89" s="1">
        <v>14</v>
      </c>
      <c r="R89" s="2">
        <v>37.659999999999997</v>
      </c>
      <c r="S89" s="2">
        <v>37.799999999999997</v>
      </c>
      <c r="T89" s="2">
        <v>39.683333333333337</v>
      </c>
      <c r="V89" s="1">
        <v>14</v>
      </c>
      <c r="W89" s="2">
        <v>37.659999999999997</v>
      </c>
      <c r="X89" s="2">
        <v>37.85</v>
      </c>
      <c r="Y89" s="2">
        <v>39.683333333333337</v>
      </c>
      <c r="AA89" s="1">
        <v>14</v>
      </c>
      <c r="AB89" s="2">
        <v>37.880000000000003</v>
      </c>
      <c r="AD89" s="136">
        <v>14</v>
      </c>
      <c r="AE89" s="136">
        <v>37.65</v>
      </c>
      <c r="AF89" s="136">
        <v>37.840000000000003</v>
      </c>
    </row>
    <row r="90" spans="2:32" x14ac:dyDescent="0.3">
      <c r="B90" s="1">
        <v>13</v>
      </c>
      <c r="C90" s="2">
        <v>37.28</v>
      </c>
      <c r="D90" s="2">
        <v>37.520000000000003</v>
      </c>
      <c r="E90" s="2">
        <v>39.481481481481488</v>
      </c>
      <c r="G90" s="1">
        <v>13</v>
      </c>
      <c r="H90" s="2">
        <v>37.28</v>
      </c>
      <c r="I90" s="2">
        <v>37.520000000000003</v>
      </c>
      <c r="J90" s="4">
        <v>39.479999999999997</v>
      </c>
      <c r="K90" s="5"/>
      <c r="L90" s="6">
        <v>13</v>
      </c>
      <c r="M90" s="2">
        <v>38.18</v>
      </c>
      <c r="N90" s="2">
        <v>38.619999999999997</v>
      </c>
      <c r="O90" s="2">
        <v>39.481481481481488</v>
      </c>
      <c r="Q90" s="1">
        <v>13</v>
      </c>
      <c r="R90" s="2">
        <v>37.28</v>
      </c>
      <c r="S90" s="2">
        <v>37.46</v>
      </c>
      <c r="T90" s="2">
        <v>39.481481481481488</v>
      </c>
      <c r="V90" s="1">
        <v>13</v>
      </c>
      <c r="W90" s="2">
        <v>37.299999999999997</v>
      </c>
      <c r="X90" s="2">
        <v>37.53</v>
      </c>
      <c r="Y90" s="2">
        <v>39.481481481481488</v>
      </c>
      <c r="AA90" s="1">
        <v>13</v>
      </c>
      <c r="AB90" s="2">
        <v>37.630000000000003</v>
      </c>
      <c r="AD90" s="136">
        <v>13</v>
      </c>
      <c r="AE90" s="136">
        <v>37.28</v>
      </c>
      <c r="AF90" s="136">
        <v>37.520000000000003</v>
      </c>
    </row>
    <row r="91" spans="2:32" x14ac:dyDescent="0.3">
      <c r="B91" s="1">
        <v>12</v>
      </c>
      <c r="C91" s="2">
        <v>36.93</v>
      </c>
      <c r="D91" s="2">
        <v>37.19</v>
      </c>
      <c r="E91" s="2">
        <v>39.25</v>
      </c>
      <c r="G91" s="1">
        <v>12</v>
      </c>
      <c r="H91" s="2">
        <v>36.92</v>
      </c>
      <c r="I91" s="2">
        <v>37.18</v>
      </c>
      <c r="J91" s="4">
        <v>39.25</v>
      </c>
      <c r="K91" s="5"/>
      <c r="L91" s="6">
        <v>12</v>
      </c>
      <c r="M91" s="2">
        <v>37.82</v>
      </c>
      <c r="N91" s="2">
        <v>38.29</v>
      </c>
      <c r="O91" s="2">
        <v>39.25</v>
      </c>
      <c r="Q91" s="1">
        <v>12</v>
      </c>
      <c r="R91" s="2">
        <v>36.909999999999997</v>
      </c>
      <c r="S91" s="2">
        <v>37.11</v>
      </c>
      <c r="T91" s="2">
        <v>39.25</v>
      </c>
      <c r="V91" s="1">
        <v>12</v>
      </c>
      <c r="W91" s="2">
        <v>36.92</v>
      </c>
      <c r="X91" s="2">
        <v>37.19</v>
      </c>
      <c r="Y91" s="2">
        <v>39.25</v>
      </c>
      <c r="AA91" s="1">
        <v>12</v>
      </c>
      <c r="AB91" s="2">
        <v>37.380000000000003</v>
      </c>
      <c r="AD91" s="136">
        <v>12</v>
      </c>
      <c r="AE91" s="136">
        <v>36.92</v>
      </c>
      <c r="AF91" s="136">
        <v>37.18</v>
      </c>
    </row>
    <row r="92" spans="2:32" x14ac:dyDescent="0.3">
      <c r="B92" s="1">
        <v>11</v>
      </c>
      <c r="C92" s="2">
        <v>36.590000000000003</v>
      </c>
      <c r="D92" s="2">
        <v>36.799999999999997</v>
      </c>
      <c r="E92" s="2">
        <v>39.00555555555556</v>
      </c>
      <c r="G92" s="1">
        <v>11</v>
      </c>
      <c r="H92" s="2">
        <v>36.590000000000003</v>
      </c>
      <c r="I92" s="2">
        <v>36.799999999999997</v>
      </c>
      <c r="J92" s="4">
        <v>39</v>
      </c>
      <c r="K92" s="5"/>
      <c r="L92" s="6">
        <v>11</v>
      </c>
      <c r="M92" s="2">
        <v>37.49</v>
      </c>
      <c r="N92" s="2">
        <v>37.9</v>
      </c>
      <c r="O92" s="2">
        <v>39.00555555555556</v>
      </c>
      <c r="Q92" s="1">
        <v>11</v>
      </c>
      <c r="R92" s="2">
        <v>36.549999999999997</v>
      </c>
      <c r="S92" s="2">
        <v>36.76</v>
      </c>
      <c r="T92" s="2">
        <v>39.00555555555556</v>
      </c>
      <c r="V92" s="1">
        <v>11</v>
      </c>
      <c r="W92" s="2">
        <v>36.58</v>
      </c>
      <c r="X92" s="2">
        <v>36.799999999999997</v>
      </c>
      <c r="Y92" s="2">
        <v>39.00555555555556</v>
      </c>
      <c r="AA92" s="1">
        <v>11</v>
      </c>
      <c r="AB92" s="2">
        <v>37.25</v>
      </c>
      <c r="AD92" s="136">
        <v>11</v>
      </c>
      <c r="AE92" s="136">
        <v>36.590000000000003</v>
      </c>
      <c r="AF92" s="136">
        <v>36.799999999999997</v>
      </c>
    </row>
    <row r="93" spans="2:32" x14ac:dyDescent="0.3">
      <c r="B93" s="1">
        <v>10</v>
      </c>
      <c r="C93" s="2">
        <v>36.17</v>
      </c>
      <c r="D93" s="2">
        <v>36.44</v>
      </c>
      <c r="E93" s="2">
        <v>38.761111111111106</v>
      </c>
      <c r="G93" s="1">
        <v>10</v>
      </c>
      <c r="H93" s="2">
        <v>36.159999999999997</v>
      </c>
      <c r="I93" s="2">
        <v>36.43</v>
      </c>
      <c r="J93" s="4">
        <v>38.76</v>
      </c>
      <c r="K93" s="5"/>
      <c r="L93" s="6">
        <v>10</v>
      </c>
      <c r="M93" s="2">
        <v>37.07</v>
      </c>
      <c r="N93" s="2">
        <v>37.54</v>
      </c>
      <c r="O93" s="2">
        <v>38.761111111111106</v>
      </c>
      <c r="Q93" s="1">
        <v>10</v>
      </c>
      <c r="R93" s="2">
        <v>36.119999999999997</v>
      </c>
      <c r="S93" s="2">
        <v>36.43</v>
      </c>
      <c r="T93" s="2">
        <v>38.761111111111106</v>
      </c>
      <c r="V93" s="1">
        <v>10</v>
      </c>
      <c r="W93" s="2">
        <v>36.18</v>
      </c>
      <c r="X93" s="2">
        <v>36.44</v>
      </c>
      <c r="Y93" s="2">
        <v>38.761111111111106</v>
      </c>
      <c r="AA93" s="1">
        <v>10</v>
      </c>
      <c r="AB93" s="2">
        <v>36.5</v>
      </c>
      <c r="AD93" s="136">
        <v>10</v>
      </c>
      <c r="AE93" s="136">
        <v>36.159999999999997</v>
      </c>
      <c r="AF93" s="136">
        <v>36.43</v>
      </c>
    </row>
    <row r="94" spans="2:32" x14ac:dyDescent="0.3">
      <c r="B94" s="1">
        <v>9</v>
      </c>
      <c r="C94" s="2">
        <v>35.799999999999997</v>
      </c>
      <c r="D94" s="2">
        <v>36.1</v>
      </c>
      <c r="E94" s="2">
        <v>38.512962962962966</v>
      </c>
      <c r="G94" s="1">
        <v>9</v>
      </c>
      <c r="H94" s="2">
        <v>35.799999999999997</v>
      </c>
      <c r="I94" s="2">
        <v>36.090000000000003</v>
      </c>
      <c r="J94" s="4">
        <v>38.51</v>
      </c>
      <c r="K94" s="5"/>
      <c r="L94" s="6">
        <v>9</v>
      </c>
      <c r="M94" s="2">
        <v>36.700000000000003</v>
      </c>
      <c r="N94" s="2">
        <v>37.19</v>
      </c>
      <c r="O94" s="2">
        <v>38.512962962962966</v>
      </c>
      <c r="Q94" s="1">
        <v>9</v>
      </c>
      <c r="R94" s="2">
        <v>35.75</v>
      </c>
      <c r="S94" s="2">
        <v>36.07</v>
      </c>
      <c r="T94" s="2">
        <v>38.512962962962966</v>
      </c>
      <c r="V94" s="1">
        <v>9</v>
      </c>
      <c r="W94" s="2">
        <v>35.799999999999997</v>
      </c>
      <c r="X94" s="2">
        <v>36.1</v>
      </c>
      <c r="Y94" s="2">
        <v>38.512962962962966</v>
      </c>
      <c r="AA94" s="1">
        <v>9</v>
      </c>
      <c r="AB94" s="2">
        <v>36.25</v>
      </c>
      <c r="AD94" s="136">
        <v>9</v>
      </c>
      <c r="AE94" s="136">
        <v>35.799999999999997</v>
      </c>
      <c r="AF94" s="136">
        <v>36.090000000000003</v>
      </c>
    </row>
    <row r="95" spans="2:32" x14ac:dyDescent="0.3">
      <c r="B95" s="1">
        <v>8</v>
      </c>
      <c r="C95" s="2">
        <v>35.43</v>
      </c>
      <c r="D95" s="2">
        <v>35.75</v>
      </c>
      <c r="E95" s="2">
        <v>38.246296296296293</v>
      </c>
      <c r="G95" s="1">
        <v>8</v>
      </c>
      <c r="H95" s="2">
        <v>35.43</v>
      </c>
      <c r="I95" s="2">
        <v>35.75</v>
      </c>
      <c r="J95" s="4">
        <v>38.24</v>
      </c>
      <c r="K95" s="5"/>
      <c r="L95" s="6">
        <v>8</v>
      </c>
      <c r="M95" s="2">
        <v>36.33</v>
      </c>
      <c r="N95" s="2">
        <v>36.85</v>
      </c>
      <c r="O95" s="2">
        <v>38.246296296296293</v>
      </c>
      <c r="Q95" s="1">
        <v>8</v>
      </c>
      <c r="R95" s="2">
        <v>35.380000000000003</v>
      </c>
      <c r="S95" s="2">
        <v>35.71</v>
      </c>
      <c r="T95" s="2">
        <v>38.246296296296293</v>
      </c>
      <c r="V95" s="1">
        <v>8</v>
      </c>
      <c r="W95" s="2">
        <v>35.42</v>
      </c>
      <c r="X95" s="2">
        <v>35.74</v>
      </c>
      <c r="Y95" s="2">
        <v>38.246296296296293</v>
      </c>
      <c r="AA95" s="1">
        <v>8</v>
      </c>
      <c r="AB95" s="2">
        <v>35.75</v>
      </c>
      <c r="AD95" s="136">
        <v>8</v>
      </c>
      <c r="AE95" s="136">
        <v>35.43</v>
      </c>
      <c r="AF95" s="136">
        <v>35.75</v>
      </c>
    </row>
    <row r="96" spans="2:32" x14ac:dyDescent="0.3">
      <c r="B96" s="1">
        <v>7</v>
      </c>
      <c r="C96" s="2">
        <v>34.979999999999997</v>
      </c>
      <c r="D96" s="2">
        <v>35.4</v>
      </c>
      <c r="E96" s="2">
        <v>37.970370370370368</v>
      </c>
      <c r="G96" s="1">
        <v>7</v>
      </c>
      <c r="H96" s="2">
        <v>34.97</v>
      </c>
      <c r="I96" s="2">
        <v>35.39</v>
      </c>
      <c r="J96" s="4">
        <v>37.97</v>
      </c>
      <c r="K96" s="5"/>
      <c r="L96" s="6">
        <v>7</v>
      </c>
      <c r="M96" s="2">
        <v>35.880000000000003</v>
      </c>
      <c r="N96" s="2">
        <v>36.49</v>
      </c>
      <c r="O96" s="2">
        <v>37.970370370370368</v>
      </c>
      <c r="Q96" s="1">
        <v>7</v>
      </c>
      <c r="R96" s="2">
        <v>34.93</v>
      </c>
      <c r="S96" s="2">
        <v>35.33</v>
      </c>
      <c r="T96" s="2">
        <v>37.970370370370368</v>
      </c>
      <c r="V96" s="1">
        <v>7</v>
      </c>
      <c r="W96" s="2">
        <v>34.97</v>
      </c>
      <c r="X96" s="2">
        <v>35.4</v>
      </c>
      <c r="Y96" s="2">
        <v>37.970370370370368</v>
      </c>
      <c r="AA96" s="1">
        <v>7</v>
      </c>
      <c r="AB96" s="2">
        <v>35.630000000000003</v>
      </c>
      <c r="AD96" s="136">
        <v>7</v>
      </c>
      <c r="AE96" s="136">
        <v>34.97</v>
      </c>
      <c r="AF96" s="136">
        <v>35.39</v>
      </c>
    </row>
    <row r="97" spans="2:32" x14ac:dyDescent="0.3">
      <c r="B97" s="1">
        <v>6</v>
      </c>
      <c r="C97" s="2">
        <v>34.47</v>
      </c>
      <c r="D97" s="2">
        <v>34.880000000000003</v>
      </c>
      <c r="E97" s="2">
        <v>37.679629629629623</v>
      </c>
      <c r="G97" s="1">
        <v>6</v>
      </c>
      <c r="H97" s="2">
        <v>34.46</v>
      </c>
      <c r="I97" s="2">
        <v>34.869999999999997</v>
      </c>
      <c r="J97" s="4">
        <v>37.67</v>
      </c>
      <c r="K97" s="5"/>
      <c r="L97" s="6">
        <v>6</v>
      </c>
      <c r="M97" s="2">
        <v>35.369999999999997</v>
      </c>
      <c r="N97" s="2">
        <v>35.97</v>
      </c>
      <c r="O97" s="2">
        <v>37.679629629629623</v>
      </c>
      <c r="Q97" s="1">
        <v>6</v>
      </c>
      <c r="R97" s="2">
        <v>34.43</v>
      </c>
      <c r="S97" s="2">
        <v>34.880000000000003</v>
      </c>
      <c r="T97" s="2">
        <v>37.679629629629623</v>
      </c>
      <c r="V97" s="1">
        <v>6</v>
      </c>
      <c r="W97" s="2">
        <v>34.47</v>
      </c>
      <c r="X97" s="2">
        <v>34.880000000000003</v>
      </c>
      <c r="Y97" s="2">
        <v>37.679629629629623</v>
      </c>
      <c r="AA97" s="1">
        <v>6</v>
      </c>
      <c r="AB97" s="2">
        <v>35.380000000000003</v>
      </c>
      <c r="AD97" s="136">
        <v>6</v>
      </c>
      <c r="AE97" s="136">
        <v>34.46</v>
      </c>
      <c r="AF97" s="136">
        <v>34.869999999999997</v>
      </c>
    </row>
    <row r="98" spans="2:32" x14ac:dyDescent="0.3">
      <c r="B98" s="1">
        <v>5</v>
      </c>
      <c r="C98" s="2">
        <v>33.93</v>
      </c>
      <c r="D98" s="2">
        <v>34.42</v>
      </c>
      <c r="E98" s="2">
        <v>37.31481481481481</v>
      </c>
      <c r="G98" s="1">
        <v>5</v>
      </c>
      <c r="H98" s="2">
        <v>33.93</v>
      </c>
      <c r="I98" s="2">
        <v>34.409999999999997</v>
      </c>
      <c r="J98" s="4">
        <v>37.31</v>
      </c>
      <c r="K98" s="5"/>
      <c r="L98" s="6">
        <v>5</v>
      </c>
      <c r="M98" s="2">
        <v>34.83</v>
      </c>
      <c r="N98" s="2">
        <v>35.520000000000003</v>
      </c>
      <c r="O98" s="2">
        <v>37.31481481481481</v>
      </c>
      <c r="Q98" s="1">
        <v>5</v>
      </c>
      <c r="R98" s="2">
        <v>33.869999999999997</v>
      </c>
      <c r="S98" s="2">
        <v>34.42</v>
      </c>
      <c r="T98" s="2">
        <v>37.31481481481481</v>
      </c>
      <c r="V98" s="1">
        <v>5</v>
      </c>
      <c r="W98" s="2">
        <v>33.93</v>
      </c>
      <c r="X98" s="2">
        <v>34.409999999999997</v>
      </c>
      <c r="Y98" s="2">
        <v>37.31481481481481</v>
      </c>
      <c r="AA98" s="1">
        <v>5</v>
      </c>
      <c r="AB98" s="2">
        <v>35</v>
      </c>
      <c r="AD98" s="136">
        <v>5</v>
      </c>
      <c r="AE98" s="136">
        <v>33.93</v>
      </c>
      <c r="AF98" s="136">
        <v>34.409999999999997</v>
      </c>
    </row>
    <row r="99" spans="2:32" x14ac:dyDescent="0.3">
      <c r="B99" s="1">
        <v>4</v>
      </c>
      <c r="C99" s="2">
        <v>33.35</v>
      </c>
      <c r="D99" s="2">
        <v>33.92</v>
      </c>
      <c r="E99" s="2">
        <v>36.907407407407405</v>
      </c>
      <c r="G99" s="1">
        <v>4</v>
      </c>
      <c r="H99" s="2">
        <v>33.35</v>
      </c>
      <c r="I99" s="2">
        <v>33.909999999999997</v>
      </c>
      <c r="J99" s="4">
        <v>36.9</v>
      </c>
      <c r="K99" s="5"/>
      <c r="L99" s="6">
        <v>4</v>
      </c>
      <c r="M99" s="2">
        <v>34.25</v>
      </c>
      <c r="N99" s="2">
        <v>35.020000000000003</v>
      </c>
      <c r="O99" s="2">
        <v>36.907407407407405</v>
      </c>
      <c r="Q99" s="1">
        <v>4</v>
      </c>
      <c r="R99" s="2">
        <v>33.200000000000003</v>
      </c>
      <c r="S99" s="2">
        <v>33.92</v>
      </c>
      <c r="T99" s="2">
        <v>36.907407407407405</v>
      </c>
      <c r="V99" s="1">
        <v>4</v>
      </c>
      <c r="W99" s="2">
        <v>33.35</v>
      </c>
      <c r="X99" s="2">
        <v>33.909999999999997</v>
      </c>
      <c r="Y99" s="2">
        <v>36.907407407407405</v>
      </c>
      <c r="AA99" s="1">
        <v>4</v>
      </c>
      <c r="AB99" s="2">
        <v>34</v>
      </c>
      <c r="AD99" s="136">
        <v>4</v>
      </c>
      <c r="AE99" s="136">
        <v>33.35</v>
      </c>
      <c r="AF99" s="136">
        <v>33.909999999999997</v>
      </c>
    </row>
    <row r="100" spans="2:32" x14ac:dyDescent="0.3">
      <c r="B100" s="1">
        <v>3</v>
      </c>
      <c r="C100" s="2">
        <v>32.450000000000003</v>
      </c>
      <c r="D100" s="2">
        <v>33.19</v>
      </c>
      <c r="E100" s="2">
        <v>36.407407407407405</v>
      </c>
      <c r="G100" s="1">
        <v>3</v>
      </c>
      <c r="H100" s="2">
        <v>32.450000000000003</v>
      </c>
      <c r="I100" s="2">
        <v>33.18</v>
      </c>
      <c r="J100" s="4">
        <v>36.4</v>
      </c>
      <c r="K100" s="5"/>
      <c r="L100" s="6">
        <v>3</v>
      </c>
      <c r="M100" s="2">
        <v>33.35</v>
      </c>
      <c r="N100" s="2">
        <v>34.29</v>
      </c>
      <c r="O100" s="2">
        <v>36.407407407407405</v>
      </c>
      <c r="Q100" s="1">
        <v>3</v>
      </c>
      <c r="R100" s="2">
        <v>32.4</v>
      </c>
      <c r="S100" s="2">
        <v>33.130000000000003</v>
      </c>
      <c r="T100" s="2">
        <v>36.407407407407405</v>
      </c>
      <c r="V100" s="1">
        <v>3</v>
      </c>
      <c r="W100" s="2">
        <v>32.450000000000003</v>
      </c>
      <c r="X100" s="2">
        <v>33.19</v>
      </c>
      <c r="Y100" s="2">
        <v>36.407407407407405</v>
      </c>
      <c r="AA100" s="1">
        <v>3</v>
      </c>
      <c r="AB100" s="2">
        <v>33.5</v>
      </c>
      <c r="AD100" s="136">
        <v>3</v>
      </c>
      <c r="AE100" s="136">
        <v>32.450000000000003</v>
      </c>
      <c r="AF100" s="136">
        <v>33.18</v>
      </c>
    </row>
    <row r="101" spans="2:32" x14ac:dyDescent="0.3">
      <c r="B101" s="1">
        <v>2</v>
      </c>
      <c r="C101" s="2">
        <v>31.6</v>
      </c>
      <c r="D101" s="2">
        <v>32.31</v>
      </c>
      <c r="E101" s="2">
        <v>35.833333333333336</v>
      </c>
      <c r="G101" s="1">
        <v>2</v>
      </c>
      <c r="H101" s="2">
        <v>31.6</v>
      </c>
      <c r="I101" s="2">
        <v>32.31</v>
      </c>
      <c r="J101" s="4">
        <v>35.83</v>
      </c>
      <c r="K101" s="5"/>
      <c r="L101" s="6">
        <v>2</v>
      </c>
      <c r="M101" s="2">
        <v>32.5</v>
      </c>
      <c r="N101" s="2">
        <v>33.409999999999997</v>
      </c>
      <c r="O101" s="2">
        <v>35.833333333333336</v>
      </c>
      <c r="Q101" s="1">
        <v>2</v>
      </c>
      <c r="R101" s="2">
        <v>31.6</v>
      </c>
      <c r="S101" s="2">
        <v>32.19</v>
      </c>
      <c r="T101" s="2">
        <v>35.833333333333336</v>
      </c>
      <c r="V101" s="1">
        <v>2</v>
      </c>
      <c r="W101" s="2">
        <v>31.6</v>
      </c>
      <c r="X101" s="2">
        <v>32.31</v>
      </c>
      <c r="Y101" s="2">
        <v>35.833333333333336</v>
      </c>
      <c r="AA101" s="1">
        <v>2</v>
      </c>
      <c r="AB101" s="2">
        <v>32.880000000000003</v>
      </c>
      <c r="AD101" s="136">
        <v>2</v>
      </c>
      <c r="AE101" s="136">
        <v>31.6</v>
      </c>
      <c r="AF101" s="136">
        <v>32.31</v>
      </c>
    </row>
    <row r="102" spans="2:32" x14ac:dyDescent="0.3">
      <c r="B102" s="1">
        <v>1</v>
      </c>
      <c r="C102" s="2">
        <v>30.68</v>
      </c>
      <c r="D102" s="2">
        <v>31.25</v>
      </c>
      <c r="E102" s="2">
        <v>34.944444444444443</v>
      </c>
      <c r="G102" s="1">
        <v>1</v>
      </c>
      <c r="H102" s="2">
        <v>30.5</v>
      </c>
      <c r="I102" s="2">
        <v>31.25</v>
      </c>
      <c r="J102" s="4">
        <v>34.94</v>
      </c>
      <c r="K102" s="5"/>
      <c r="L102" s="6">
        <v>1</v>
      </c>
      <c r="M102" s="2">
        <v>31.4</v>
      </c>
      <c r="N102" s="2">
        <v>32.35</v>
      </c>
      <c r="O102" s="2">
        <v>34.944444444444443</v>
      </c>
      <c r="Q102" s="1">
        <v>1</v>
      </c>
      <c r="R102" s="2">
        <v>30.5</v>
      </c>
      <c r="S102" s="2">
        <v>31.25</v>
      </c>
      <c r="T102" s="2">
        <v>34.944444444444443</v>
      </c>
      <c r="V102" s="1">
        <v>1</v>
      </c>
      <c r="W102" s="2">
        <v>30.5</v>
      </c>
      <c r="X102" s="2">
        <v>31.25</v>
      </c>
      <c r="Y102" s="2">
        <v>34.944444444444443</v>
      </c>
      <c r="AA102" s="1">
        <v>1</v>
      </c>
      <c r="AB102" s="2">
        <v>31.88</v>
      </c>
      <c r="AD102" s="136">
        <v>1</v>
      </c>
      <c r="AE102" s="136">
        <v>30.5</v>
      </c>
      <c r="AF102" s="136">
        <v>31.25</v>
      </c>
    </row>
    <row r="103" spans="2:32" x14ac:dyDescent="0.3">
      <c r="B103" s="1">
        <v>0</v>
      </c>
      <c r="C103" s="2">
        <v>28.9</v>
      </c>
      <c r="D103" s="2">
        <v>29.63</v>
      </c>
      <c r="E103" s="2">
        <v>33.555555555555557</v>
      </c>
      <c r="G103" s="1">
        <v>0</v>
      </c>
      <c r="H103" s="2">
        <v>28.9</v>
      </c>
      <c r="I103" s="2">
        <v>29.62</v>
      </c>
      <c r="J103" s="4">
        <v>33.659999999999997</v>
      </c>
      <c r="K103" s="5"/>
      <c r="L103" s="6">
        <v>0</v>
      </c>
      <c r="M103" s="2">
        <v>28.9</v>
      </c>
      <c r="N103" s="2">
        <v>29.625</v>
      </c>
      <c r="O103" s="2">
        <v>33.555555555555557</v>
      </c>
      <c r="Q103" s="1">
        <v>0</v>
      </c>
      <c r="R103" s="2">
        <v>28.8</v>
      </c>
      <c r="S103" s="2">
        <v>29.38</v>
      </c>
      <c r="T103" s="2">
        <v>33.555555555555557</v>
      </c>
      <c r="V103" s="1">
        <v>0</v>
      </c>
      <c r="W103" s="2">
        <v>28.9</v>
      </c>
      <c r="X103" s="2">
        <v>29.63</v>
      </c>
      <c r="Y103" s="2">
        <v>33.555555555555557</v>
      </c>
      <c r="AA103" s="1">
        <v>0</v>
      </c>
      <c r="AB103" s="2">
        <v>29.88</v>
      </c>
      <c r="AD103" s="142">
        <v>0</v>
      </c>
      <c r="AE103" s="142">
        <v>0</v>
      </c>
      <c r="AF103" s="142">
        <v>0</v>
      </c>
    </row>
  </sheetData>
  <sheetProtection password="B7A3" sheet="1" objects="1" scenarios="1" formatCells="0" formatColumns="0" formatRows="0" insertColumns="0" insertRows="0" insertHyperlinks="0" deleteColumns="0" deleteRows="0" selectLockedCells="1" sort="0" autoFilter="0" pivotTables="0"/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workbookViewId="0">
      <selection sqref="A1:B1"/>
    </sheetView>
  </sheetViews>
  <sheetFormatPr defaultRowHeight="12.75" x14ac:dyDescent="0.3"/>
  <cols>
    <col min="1" max="16384" width="9" style="117"/>
  </cols>
  <sheetData>
    <row r="1" spans="1:16" s="116" customFormat="1" x14ac:dyDescent="0.3">
      <c r="A1" s="202" t="s">
        <v>268</v>
      </c>
      <c r="B1" s="203"/>
      <c r="C1" s="202" t="s">
        <v>254</v>
      </c>
      <c r="D1" s="203"/>
      <c r="E1" s="202" t="s">
        <v>255</v>
      </c>
      <c r="F1" s="203"/>
      <c r="G1" s="202" t="s">
        <v>256</v>
      </c>
      <c r="H1" s="203"/>
      <c r="I1" s="202" t="s">
        <v>257</v>
      </c>
      <c r="J1" s="203"/>
      <c r="K1" s="202" t="s">
        <v>258</v>
      </c>
      <c r="L1" s="203"/>
      <c r="M1" s="202" t="s">
        <v>259</v>
      </c>
      <c r="N1" s="203"/>
      <c r="O1" s="202" t="s">
        <v>260</v>
      </c>
      <c r="P1" s="203"/>
    </row>
    <row r="2" spans="1:16" s="116" customFormat="1" ht="13.5" thickBot="1" x14ac:dyDescent="0.35">
      <c r="A2" s="99" t="s">
        <v>261</v>
      </c>
      <c r="B2" s="100" t="s">
        <v>262</v>
      </c>
      <c r="C2" s="99" t="s">
        <v>261</v>
      </c>
      <c r="D2" s="100" t="s">
        <v>262</v>
      </c>
      <c r="E2" s="99" t="s">
        <v>261</v>
      </c>
      <c r="F2" s="100" t="s">
        <v>262</v>
      </c>
      <c r="G2" s="99" t="s">
        <v>261</v>
      </c>
      <c r="H2" s="100" t="s">
        <v>262</v>
      </c>
      <c r="I2" s="99" t="s">
        <v>261</v>
      </c>
      <c r="J2" s="100" t="s">
        <v>262</v>
      </c>
      <c r="K2" s="99" t="s">
        <v>261</v>
      </c>
      <c r="L2" s="100" t="s">
        <v>262</v>
      </c>
      <c r="M2" s="99" t="s">
        <v>261</v>
      </c>
      <c r="N2" s="100" t="s">
        <v>262</v>
      </c>
      <c r="O2" s="99" t="s">
        <v>261</v>
      </c>
      <c r="P2" s="100" t="s">
        <v>262</v>
      </c>
    </row>
    <row r="3" spans="1:16" x14ac:dyDescent="0.3">
      <c r="A3" s="101">
        <v>69</v>
      </c>
      <c r="B3" s="102">
        <v>68.5</v>
      </c>
      <c r="C3" s="103">
        <v>71</v>
      </c>
      <c r="D3" s="104">
        <v>69.62</v>
      </c>
      <c r="E3" s="105">
        <v>71</v>
      </c>
      <c r="F3" s="106">
        <v>69.62</v>
      </c>
      <c r="G3" s="103">
        <v>73</v>
      </c>
      <c r="H3" s="104">
        <v>69.62</v>
      </c>
      <c r="I3" s="105">
        <v>66</v>
      </c>
      <c r="J3" s="106">
        <v>68.5</v>
      </c>
      <c r="K3" s="103">
        <v>72</v>
      </c>
      <c r="L3" s="104">
        <v>69.62</v>
      </c>
      <c r="M3" s="105">
        <v>67</v>
      </c>
      <c r="N3" s="106">
        <v>67.25</v>
      </c>
      <c r="O3" s="103">
        <v>68</v>
      </c>
      <c r="P3" s="104">
        <v>68.5</v>
      </c>
    </row>
    <row r="4" spans="1:16" x14ac:dyDescent="0.3">
      <c r="A4" s="107">
        <v>68</v>
      </c>
      <c r="B4" s="108">
        <v>67.25</v>
      </c>
      <c r="C4" s="109">
        <v>70</v>
      </c>
      <c r="D4" s="110">
        <v>69.239999999999995</v>
      </c>
      <c r="E4" s="107">
        <v>70</v>
      </c>
      <c r="F4" s="108">
        <v>68.5</v>
      </c>
      <c r="G4" s="109">
        <v>71</v>
      </c>
      <c r="H4" s="110">
        <v>68.87</v>
      </c>
      <c r="I4" s="107">
        <v>64</v>
      </c>
      <c r="J4" s="108">
        <v>67.25</v>
      </c>
      <c r="K4" s="109">
        <v>70</v>
      </c>
      <c r="L4" s="110">
        <v>68.5</v>
      </c>
      <c r="M4" s="107">
        <v>65</v>
      </c>
      <c r="N4" s="108">
        <v>64.81</v>
      </c>
      <c r="O4" s="109">
        <v>66</v>
      </c>
      <c r="P4" s="110">
        <v>66.459999999999994</v>
      </c>
    </row>
    <row r="5" spans="1:16" x14ac:dyDescent="0.3">
      <c r="A5" s="107">
        <v>67</v>
      </c>
      <c r="B5" s="108">
        <v>66.459999999999994</v>
      </c>
      <c r="C5" s="109">
        <v>69</v>
      </c>
      <c r="D5" s="110">
        <v>68.87</v>
      </c>
      <c r="E5" s="107">
        <v>69</v>
      </c>
      <c r="F5" s="108">
        <v>67.25</v>
      </c>
      <c r="G5" s="109">
        <v>70</v>
      </c>
      <c r="H5" s="110">
        <v>68.5</v>
      </c>
      <c r="I5" s="107">
        <v>63</v>
      </c>
      <c r="J5" s="108">
        <v>64.81</v>
      </c>
      <c r="K5" s="109">
        <v>69</v>
      </c>
      <c r="L5" s="110">
        <v>67.87</v>
      </c>
      <c r="M5" s="107">
        <v>64</v>
      </c>
      <c r="N5" s="108">
        <v>63.53</v>
      </c>
      <c r="O5" s="109">
        <v>65</v>
      </c>
      <c r="P5" s="110">
        <v>64.81</v>
      </c>
    </row>
    <row r="6" spans="1:16" x14ac:dyDescent="0.3">
      <c r="A6" s="107">
        <v>66</v>
      </c>
      <c r="B6" s="108">
        <v>65.319999999999993</v>
      </c>
      <c r="C6" s="109">
        <v>68</v>
      </c>
      <c r="D6" s="110">
        <v>68.5</v>
      </c>
      <c r="E6" s="107">
        <v>68</v>
      </c>
      <c r="F6" s="108">
        <v>66.459999999999994</v>
      </c>
      <c r="G6" s="109">
        <v>69</v>
      </c>
      <c r="H6" s="110">
        <v>67.87</v>
      </c>
      <c r="I6" s="107">
        <v>62</v>
      </c>
      <c r="J6" s="108">
        <v>63.13</v>
      </c>
      <c r="K6" s="109">
        <v>68</v>
      </c>
      <c r="L6" s="110">
        <v>67.25</v>
      </c>
      <c r="M6" s="107">
        <v>63</v>
      </c>
      <c r="N6" s="108">
        <v>62.78</v>
      </c>
      <c r="O6" s="109">
        <v>64</v>
      </c>
      <c r="P6" s="110">
        <v>63.53</v>
      </c>
    </row>
    <row r="7" spans="1:16" x14ac:dyDescent="0.3">
      <c r="A7" s="107">
        <v>65</v>
      </c>
      <c r="B7" s="108">
        <v>64.81</v>
      </c>
      <c r="C7" s="109">
        <v>67</v>
      </c>
      <c r="D7" s="110">
        <v>67.25</v>
      </c>
      <c r="E7" s="107">
        <v>67</v>
      </c>
      <c r="F7" s="108">
        <v>65.83</v>
      </c>
      <c r="G7" s="109">
        <v>68</v>
      </c>
      <c r="H7" s="110">
        <v>67.25</v>
      </c>
      <c r="I7" s="107">
        <v>61</v>
      </c>
      <c r="J7" s="108">
        <v>61.82</v>
      </c>
      <c r="K7" s="109">
        <v>67</v>
      </c>
      <c r="L7" s="110">
        <v>65.83</v>
      </c>
      <c r="M7" s="107">
        <v>62</v>
      </c>
      <c r="N7" s="108">
        <v>61.82</v>
      </c>
      <c r="O7" s="109">
        <v>63</v>
      </c>
      <c r="P7" s="110">
        <v>62.17</v>
      </c>
    </row>
    <row r="8" spans="1:16" x14ac:dyDescent="0.3">
      <c r="A8" s="107">
        <v>64</v>
      </c>
      <c r="B8" s="108">
        <v>63.53</v>
      </c>
      <c r="C8" s="109">
        <v>66</v>
      </c>
      <c r="D8" s="110">
        <v>66.459999999999994</v>
      </c>
      <c r="E8" s="107">
        <v>66</v>
      </c>
      <c r="F8" s="108">
        <v>64.81</v>
      </c>
      <c r="G8" s="109">
        <v>67</v>
      </c>
      <c r="H8" s="110">
        <v>66.459999999999994</v>
      </c>
      <c r="I8" s="107">
        <v>60</v>
      </c>
      <c r="J8" s="108">
        <v>60.8</v>
      </c>
      <c r="K8" s="109">
        <v>66</v>
      </c>
      <c r="L8" s="110">
        <v>65.319999999999993</v>
      </c>
      <c r="M8" s="107">
        <v>61</v>
      </c>
      <c r="N8" s="108">
        <v>60.21</v>
      </c>
      <c r="O8" s="109">
        <v>62</v>
      </c>
      <c r="P8" s="110">
        <v>61.47</v>
      </c>
    </row>
    <row r="9" spans="1:16" x14ac:dyDescent="0.3">
      <c r="A9" s="107">
        <v>63</v>
      </c>
      <c r="B9" s="108">
        <v>62.47</v>
      </c>
      <c r="C9" s="109">
        <v>65</v>
      </c>
      <c r="D9" s="110">
        <v>65.83</v>
      </c>
      <c r="E9" s="107">
        <v>65</v>
      </c>
      <c r="F9" s="108">
        <v>64.36</v>
      </c>
      <c r="G9" s="109">
        <v>66</v>
      </c>
      <c r="H9" s="110">
        <v>65.83</v>
      </c>
      <c r="I9" s="107">
        <v>59</v>
      </c>
      <c r="J9" s="108">
        <v>59.32</v>
      </c>
      <c r="K9" s="109">
        <v>65</v>
      </c>
      <c r="L9" s="110">
        <v>64.36</v>
      </c>
      <c r="M9" s="107">
        <v>60</v>
      </c>
      <c r="N9" s="108">
        <v>59.32</v>
      </c>
      <c r="O9" s="109">
        <v>61</v>
      </c>
      <c r="P9" s="110">
        <v>60.48</v>
      </c>
    </row>
    <row r="10" spans="1:16" x14ac:dyDescent="0.3">
      <c r="A10" s="107">
        <v>62</v>
      </c>
      <c r="B10" s="108">
        <v>61.47</v>
      </c>
      <c r="C10" s="109">
        <v>64</v>
      </c>
      <c r="D10" s="110">
        <v>64.81</v>
      </c>
      <c r="E10" s="107">
        <v>64</v>
      </c>
      <c r="F10" s="108">
        <v>63.53</v>
      </c>
      <c r="G10" s="109">
        <v>65</v>
      </c>
      <c r="H10" s="110">
        <v>64.81</v>
      </c>
      <c r="I10" s="107">
        <v>58</v>
      </c>
      <c r="J10" s="108">
        <v>57.6</v>
      </c>
      <c r="K10" s="109">
        <v>64</v>
      </c>
      <c r="L10" s="110">
        <v>63.91</v>
      </c>
      <c r="M10" s="107">
        <v>59</v>
      </c>
      <c r="N10" s="108">
        <v>58.42</v>
      </c>
      <c r="O10" s="109">
        <v>60</v>
      </c>
      <c r="P10" s="110">
        <v>59.32</v>
      </c>
    </row>
    <row r="11" spans="1:16" x14ac:dyDescent="0.3">
      <c r="A11" s="107">
        <v>61</v>
      </c>
      <c r="B11" s="108">
        <v>60.8</v>
      </c>
      <c r="C11" s="109">
        <v>63</v>
      </c>
      <c r="D11" s="110">
        <v>63.53</v>
      </c>
      <c r="E11" s="107">
        <v>63</v>
      </c>
      <c r="F11" s="108">
        <v>62.47</v>
      </c>
      <c r="G11" s="109">
        <v>64</v>
      </c>
      <c r="H11" s="110">
        <v>63.91</v>
      </c>
      <c r="I11" s="107">
        <v>57</v>
      </c>
      <c r="J11" s="108">
        <v>56.56</v>
      </c>
      <c r="K11" s="109">
        <v>63</v>
      </c>
      <c r="L11" s="110">
        <v>63.13</v>
      </c>
      <c r="M11" s="107">
        <v>58</v>
      </c>
      <c r="N11" s="108">
        <v>57.27</v>
      </c>
      <c r="O11" s="109">
        <v>59</v>
      </c>
      <c r="P11" s="110">
        <v>58.17</v>
      </c>
    </row>
    <row r="12" spans="1:16" x14ac:dyDescent="0.3">
      <c r="A12" s="107">
        <v>60</v>
      </c>
      <c r="B12" s="108">
        <v>59.91</v>
      </c>
      <c r="C12" s="109">
        <v>62</v>
      </c>
      <c r="D12" s="110">
        <v>62.78</v>
      </c>
      <c r="E12" s="107">
        <v>62</v>
      </c>
      <c r="F12" s="108">
        <v>61.47</v>
      </c>
      <c r="G12" s="109">
        <v>63</v>
      </c>
      <c r="H12" s="110">
        <v>63.13</v>
      </c>
      <c r="I12" s="107">
        <v>56</v>
      </c>
      <c r="J12" s="108">
        <v>55.14</v>
      </c>
      <c r="K12" s="109">
        <v>62</v>
      </c>
      <c r="L12" s="110">
        <v>62.17</v>
      </c>
      <c r="M12" s="107">
        <v>57</v>
      </c>
      <c r="N12" s="108">
        <v>56.56</v>
      </c>
      <c r="O12" s="109">
        <v>58</v>
      </c>
      <c r="P12" s="110">
        <v>57.6</v>
      </c>
    </row>
    <row r="13" spans="1:16" x14ac:dyDescent="0.3">
      <c r="A13" s="107">
        <v>59</v>
      </c>
      <c r="B13" s="108">
        <v>59.01</v>
      </c>
      <c r="C13" s="109">
        <v>61</v>
      </c>
      <c r="D13" s="110">
        <v>61.47</v>
      </c>
      <c r="E13" s="107">
        <v>61</v>
      </c>
      <c r="F13" s="108">
        <v>60.48</v>
      </c>
      <c r="G13" s="109">
        <v>62</v>
      </c>
      <c r="H13" s="110">
        <v>62.17</v>
      </c>
      <c r="I13" s="107">
        <v>55</v>
      </c>
      <c r="J13" s="108">
        <v>53.54</v>
      </c>
      <c r="K13" s="109">
        <v>61</v>
      </c>
      <c r="L13" s="110">
        <v>61.47</v>
      </c>
      <c r="M13" s="107">
        <v>56</v>
      </c>
      <c r="N13" s="108">
        <v>55.71</v>
      </c>
      <c r="O13" s="109">
        <v>57</v>
      </c>
      <c r="P13" s="110">
        <v>56.9</v>
      </c>
    </row>
    <row r="14" spans="1:16" x14ac:dyDescent="0.3">
      <c r="A14" s="107">
        <v>58</v>
      </c>
      <c r="B14" s="108">
        <v>57.89</v>
      </c>
      <c r="C14" s="109">
        <v>60</v>
      </c>
      <c r="D14" s="110">
        <v>60.48</v>
      </c>
      <c r="E14" s="107">
        <v>60</v>
      </c>
      <c r="F14" s="108">
        <v>59.91</v>
      </c>
      <c r="G14" s="109">
        <v>61</v>
      </c>
      <c r="H14" s="110">
        <v>61.14</v>
      </c>
      <c r="I14" s="107">
        <v>54</v>
      </c>
      <c r="J14" s="108">
        <v>52.54</v>
      </c>
      <c r="K14" s="109">
        <v>60</v>
      </c>
      <c r="L14" s="110">
        <v>60.21</v>
      </c>
      <c r="M14" s="107">
        <v>55</v>
      </c>
      <c r="N14" s="108">
        <v>54.58</v>
      </c>
      <c r="O14" s="109">
        <v>56</v>
      </c>
      <c r="P14" s="110">
        <v>55.71</v>
      </c>
    </row>
    <row r="15" spans="1:16" x14ac:dyDescent="0.3">
      <c r="A15" s="107">
        <v>57</v>
      </c>
      <c r="B15" s="108">
        <v>56.9</v>
      </c>
      <c r="C15" s="109">
        <v>59</v>
      </c>
      <c r="D15" s="110">
        <v>59.32</v>
      </c>
      <c r="E15" s="107">
        <v>59</v>
      </c>
      <c r="F15" s="108">
        <v>59.32</v>
      </c>
      <c r="G15" s="109">
        <v>60</v>
      </c>
      <c r="H15" s="110">
        <v>60.48</v>
      </c>
      <c r="I15" s="107">
        <v>53</v>
      </c>
      <c r="J15" s="108">
        <v>51.45</v>
      </c>
      <c r="K15" s="109">
        <v>59</v>
      </c>
      <c r="L15" s="110">
        <v>59.01</v>
      </c>
      <c r="M15" s="107">
        <v>54</v>
      </c>
      <c r="N15" s="108">
        <v>53.92</v>
      </c>
      <c r="O15" s="109">
        <v>55</v>
      </c>
      <c r="P15" s="110">
        <v>54.58</v>
      </c>
    </row>
    <row r="16" spans="1:16" x14ac:dyDescent="0.3">
      <c r="A16" s="107">
        <v>56</v>
      </c>
      <c r="B16" s="108">
        <v>56.26</v>
      </c>
      <c r="C16" s="109">
        <v>58</v>
      </c>
      <c r="D16" s="110">
        <v>58.42</v>
      </c>
      <c r="E16" s="107">
        <v>58</v>
      </c>
      <c r="F16" s="108">
        <v>58.42</v>
      </c>
      <c r="G16" s="109">
        <v>59</v>
      </c>
      <c r="H16" s="110">
        <v>59.32</v>
      </c>
      <c r="I16" s="107">
        <v>52</v>
      </c>
      <c r="J16" s="108">
        <v>49.95</v>
      </c>
      <c r="K16" s="109">
        <v>58</v>
      </c>
      <c r="L16" s="110">
        <v>58.17</v>
      </c>
      <c r="M16" s="107">
        <v>53</v>
      </c>
      <c r="N16" s="108">
        <v>52.87</v>
      </c>
      <c r="O16" s="109">
        <v>54</v>
      </c>
      <c r="P16" s="110">
        <v>53.92</v>
      </c>
    </row>
    <row r="17" spans="1:16" x14ac:dyDescent="0.3">
      <c r="A17" s="107">
        <v>55</v>
      </c>
      <c r="B17" s="108">
        <v>55.44</v>
      </c>
      <c r="C17" s="109">
        <v>57</v>
      </c>
      <c r="D17" s="110">
        <v>56.9</v>
      </c>
      <c r="E17" s="107">
        <v>57</v>
      </c>
      <c r="F17" s="108">
        <v>57.6</v>
      </c>
      <c r="G17" s="109">
        <v>58</v>
      </c>
      <c r="H17" s="110">
        <v>58.69</v>
      </c>
      <c r="I17" s="107">
        <v>51</v>
      </c>
      <c r="J17" s="108">
        <v>48.82</v>
      </c>
      <c r="K17" s="109">
        <v>57</v>
      </c>
      <c r="L17" s="110">
        <v>57.27</v>
      </c>
      <c r="M17" s="107">
        <v>52</v>
      </c>
      <c r="N17" s="108">
        <v>52.2</v>
      </c>
      <c r="O17" s="109">
        <v>53</v>
      </c>
      <c r="P17" s="110">
        <v>53.54</v>
      </c>
    </row>
    <row r="18" spans="1:16" x14ac:dyDescent="0.3">
      <c r="A18" s="107">
        <v>54</v>
      </c>
      <c r="B18" s="108">
        <v>54.85</v>
      </c>
      <c r="C18" s="109">
        <v>56</v>
      </c>
      <c r="D18" s="110">
        <v>55.44</v>
      </c>
      <c r="E18" s="107">
        <v>56</v>
      </c>
      <c r="F18" s="108">
        <v>56.9</v>
      </c>
      <c r="G18" s="109">
        <v>57</v>
      </c>
      <c r="H18" s="110">
        <v>57.27</v>
      </c>
      <c r="I18" s="107">
        <v>50</v>
      </c>
      <c r="J18" s="108">
        <v>48.04</v>
      </c>
      <c r="K18" s="109">
        <v>56</v>
      </c>
      <c r="L18" s="110">
        <v>56.26</v>
      </c>
      <c r="M18" s="107">
        <v>51</v>
      </c>
      <c r="N18" s="108">
        <v>51.45</v>
      </c>
      <c r="O18" s="109">
        <v>52</v>
      </c>
      <c r="P18" s="110">
        <v>52.54</v>
      </c>
    </row>
    <row r="19" spans="1:16" x14ac:dyDescent="0.3">
      <c r="A19" s="107">
        <v>53</v>
      </c>
      <c r="B19" s="108">
        <v>53.54</v>
      </c>
      <c r="C19" s="109">
        <v>55</v>
      </c>
      <c r="D19" s="110">
        <v>54.25</v>
      </c>
      <c r="E19" s="107">
        <v>55</v>
      </c>
      <c r="F19" s="108">
        <v>55.98</v>
      </c>
      <c r="G19" s="109">
        <v>56</v>
      </c>
      <c r="H19" s="110">
        <v>55.98</v>
      </c>
      <c r="I19" s="107">
        <v>49</v>
      </c>
      <c r="J19" s="108">
        <v>47.29</v>
      </c>
      <c r="K19" s="109">
        <v>55</v>
      </c>
      <c r="L19" s="110">
        <v>55.44</v>
      </c>
      <c r="M19" s="107">
        <v>50</v>
      </c>
      <c r="N19" s="108">
        <v>50.34</v>
      </c>
      <c r="O19" s="109">
        <v>51</v>
      </c>
      <c r="P19" s="110">
        <v>51.45</v>
      </c>
    </row>
    <row r="20" spans="1:16" x14ac:dyDescent="0.3">
      <c r="A20" s="107">
        <v>52</v>
      </c>
      <c r="B20" s="108">
        <v>52.2</v>
      </c>
      <c r="C20" s="109">
        <v>54</v>
      </c>
      <c r="D20" s="110">
        <v>53.2</v>
      </c>
      <c r="E20" s="107">
        <v>54</v>
      </c>
      <c r="F20" s="108">
        <v>54.85</v>
      </c>
      <c r="G20" s="109">
        <v>55</v>
      </c>
      <c r="H20" s="110">
        <v>55.14</v>
      </c>
      <c r="I20" s="107">
        <v>48</v>
      </c>
      <c r="J20" s="108">
        <v>46.54</v>
      </c>
      <c r="K20" s="109">
        <v>54</v>
      </c>
      <c r="L20" s="110">
        <v>54.58</v>
      </c>
      <c r="M20" s="107">
        <v>49</v>
      </c>
      <c r="N20" s="108">
        <v>49.22</v>
      </c>
      <c r="O20" s="109">
        <v>50</v>
      </c>
      <c r="P20" s="110">
        <v>50.72</v>
      </c>
    </row>
    <row r="21" spans="1:16" x14ac:dyDescent="0.3">
      <c r="A21" s="107">
        <v>51</v>
      </c>
      <c r="B21" s="108">
        <v>51.45</v>
      </c>
      <c r="C21" s="109">
        <v>53</v>
      </c>
      <c r="D21" s="110">
        <v>52.2</v>
      </c>
      <c r="E21" s="107">
        <v>53</v>
      </c>
      <c r="F21" s="108">
        <v>53.54</v>
      </c>
      <c r="G21" s="109">
        <v>54</v>
      </c>
      <c r="H21" s="110">
        <v>54.25</v>
      </c>
      <c r="I21" s="107">
        <v>47</v>
      </c>
      <c r="J21" s="108">
        <v>45.47</v>
      </c>
      <c r="K21" s="109">
        <v>53</v>
      </c>
      <c r="L21" s="110">
        <v>53.54</v>
      </c>
      <c r="M21" s="107">
        <v>48</v>
      </c>
      <c r="N21" s="108">
        <v>48.82</v>
      </c>
      <c r="O21" s="109">
        <v>49</v>
      </c>
      <c r="P21" s="110">
        <v>49.95</v>
      </c>
    </row>
    <row r="22" spans="1:16" x14ac:dyDescent="0.3">
      <c r="A22" s="107">
        <v>50</v>
      </c>
      <c r="B22" s="108">
        <v>50.72</v>
      </c>
      <c r="C22" s="109">
        <v>52</v>
      </c>
      <c r="D22" s="110">
        <v>51.08</v>
      </c>
      <c r="E22" s="107">
        <v>52</v>
      </c>
      <c r="F22" s="108">
        <v>52.87</v>
      </c>
      <c r="G22" s="109">
        <v>53</v>
      </c>
      <c r="H22" s="110">
        <v>53.2</v>
      </c>
      <c r="I22" s="107">
        <v>46</v>
      </c>
      <c r="J22" s="108">
        <v>45.04</v>
      </c>
      <c r="K22" s="109">
        <v>52</v>
      </c>
      <c r="L22" s="110">
        <v>52.2</v>
      </c>
      <c r="M22" s="107">
        <v>47</v>
      </c>
      <c r="N22" s="108">
        <v>47.67</v>
      </c>
      <c r="O22" s="109">
        <v>48</v>
      </c>
      <c r="P22" s="110">
        <v>48.82</v>
      </c>
    </row>
    <row r="23" spans="1:16" x14ac:dyDescent="0.3">
      <c r="A23" s="107">
        <v>49</v>
      </c>
      <c r="B23" s="108">
        <v>49.95</v>
      </c>
      <c r="C23" s="109">
        <v>51</v>
      </c>
      <c r="D23" s="110">
        <v>49.95</v>
      </c>
      <c r="E23" s="107">
        <v>51</v>
      </c>
      <c r="F23" s="108">
        <v>51.84</v>
      </c>
      <c r="G23" s="109">
        <v>52</v>
      </c>
      <c r="H23" s="110">
        <v>52.2</v>
      </c>
      <c r="I23" s="107">
        <v>45</v>
      </c>
      <c r="J23" s="108">
        <v>44.07</v>
      </c>
      <c r="K23" s="109">
        <v>51</v>
      </c>
      <c r="L23" s="110">
        <v>50.72</v>
      </c>
      <c r="M23" s="107">
        <v>46</v>
      </c>
      <c r="N23" s="108">
        <v>46.54</v>
      </c>
      <c r="O23" s="109">
        <v>47</v>
      </c>
      <c r="P23" s="110">
        <v>47.67</v>
      </c>
    </row>
    <row r="24" spans="1:16" x14ac:dyDescent="0.3">
      <c r="A24" s="107">
        <v>48</v>
      </c>
      <c r="B24" s="108">
        <v>48.43</v>
      </c>
      <c r="C24" s="109">
        <v>50</v>
      </c>
      <c r="D24" s="110">
        <v>49.22</v>
      </c>
      <c r="E24" s="107">
        <v>50</v>
      </c>
      <c r="F24" s="108">
        <v>51.08</v>
      </c>
      <c r="G24" s="109">
        <v>51</v>
      </c>
      <c r="H24" s="110">
        <v>51.08</v>
      </c>
      <c r="I24" s="107">
        <v>44</v>
      </c>
      <c r="J24" s="108">
        <v>43.48</v>
      </c>
      <c r="K24" s="109">
        <v>50</v>
      </c>
      <c r="L24" s="110">
        <v>49.95</v>
      </c>
      <c r="M24" s="107">
        <v>45</v>
      </c>
      <c r="N24" s="108">
        <v>45.83</v>
      </c>
      <c r="O24" s="109">
        <v>46</v>
      </c>
      <c r="P24" s="110">
        <v>46.9</v>
      </c>
    </row>
    <row r="25" spans="1:16" x14ac:dyDescent="0.3">
      <c r="A25" s="107">
        <v>47</v>
      </c>
      <c r="B25" s="108">
        <v>47.29</v>
      </c>
      <c r="C25" s="109">
        <v>49</v>
      </c>
      <c r="D25" s="110">
        <v>48.04</v>
      </c>
      <c r="E25" s="107">
        <v>49</v>
      </c>
      <c r="F25" s="108">
        <v>49.95</v>
      </c>
      <c r="G25" s="109">
        <v>50</v>
      </c>
      <c r="H25" s="110">
        <v>49.95</v>
      </c>
      <c r="I25" s="107">
        <v>43</v>
      </c>
      <c r="J25" s="108">
        <v>42.81</v>
      </c>
      <c r="K25" s="109">
        <v>49</v>
      </c>
      <c r="L25" s="110">
        <v>48.82</v>
      </c>
      <c r="M25" s="107">
        <v>44</v>
      </c>
      <c r="N25" s="108">
        <v>44.7</v>
      </c>
      <c r="O25" s="109">
        <v>45</v>
      </c>
      <c r="P25" s="110">
        <v>45.83</v>
      </c>
    </row>
    <row r="26" spans="1:16" x14ac:dyDescent="0.3">
      <c r="A26" s="107">
        <v>46</v>
      </c>
      <c r="B26" s="108">
        <v>46.19</v>
      </c>
      <c r="C26" s="109">
        <v>48</v>
      </c>
      <c r="D26" s="110">
        <v>47.29</v>
      </c>
      <c r="E26" s="107">
        <v>48</v>
      </c>
      <c r="F26" s="108">
        <v>48.82</v>
      </c>
      <c r="G26" s="109">
        <v>49</v>
      </c>
      <c r="H26" s="110">
        <v>49.22</v>
      </c>
      <c r="I26" s="107">
        <v>42</v>
      </c>
      <c r="J26" s="108">
        <v>42.11</v>
      </c>
      <c r="K26" s="109">
        <v>48</v>
      </c>
      <c r="L26" s="110">
        <v>48.04</v>
      </c>
      <c r="M26" s="107">
        <v>43</v>
      </c>
      <c r="N26" s="108">
        <v>43.48</v>
      </c>
      <c r="O26" s="109">
        <v>44</v>
      </c>
      <c r="P26" s="110">
        <v>44.38</v>
      </c>
    </row>
    <row r="27" spans="1:16" x14ac:dyDescent="0.3">
      <c r="A27" s="107">
        <v>45</v>
      </c>
      <c r="B27" s="108">
        <v>45.47</v>
      </c>
      <c r="C27" s="109">
        <v>47</v>
      </c>
      <c r="D27" s="110">
        <v>46.54</v>
      </c>
      <c r="E27" s="107">
        <v>47</v>
      </c>
      <c r="F27" s="108">
        <v>48.04</v>
      </c>
      <c r="G27" s="109">
        <v>48</v>
      </c>
      <c r="H27" s="110">
        <v>48.04</v>
      </c>
      <c r="I27" s="107">
        <v>41</v>
      </c>
      <c r="J27" s="108">
        <v>41.41</v>
      </c>
      <c r="K27" s="109">
        <v>47</v>
      </c>
      <c r="L27" s="110">
        <v>46.9</v>
      </c>
      <c r="M27" s="107">
        <v>42</v>
      </c>
      <c r="N27" s="108">
        <v>42.81</v>
      </c>
      <c r="O27" s="109">
        <v>43</v>
      </c>
      <c r="P27" s="110">
        <v>43.16</v>
      </c>
    </row>
    <row r="28" spans="1:16" x14ac:dyDescent="0.3">
      <c r="A28" s="107">
        <v>44</v>
      </c>
      <c r="B28" s="108">
        <v>44.38</v>
      </c>
      <c r="C28" s="109">
        <v>46</v>
      </c>
      <c r="D28" s="110">
        <v>45.47</v>
      </c>
      <c r="E28" s="107">
        <v>46</v>
      </c>
      <c r="F28" s="108">
        <v>46.54</v>
      </c>
      <c r="G28" s="109">
        <v>47</v>
      </c>
      <c r="H28" s="110">
        <v>46.9</v>
      </c>
      <c r="I28" s="107">
        <v>40</v>
      </c>
      <c r="J28" s="108">
        <v>40.47</v>
      </c>
      <c r="K28" s="109">
        <v>46</v>
      </c>
      <c r="L28" s="110">
        <v>45.83</v>
      </c>
      <c r="M28" s="107">
        <v>41</v>
      </c>
      <c r="N28" s="108">
        <v>41.41</v>
      </c>
      <c r="O28" s="109">
        <v>42</v>
      </c>
      <c r="P28" s="110">
        <v>42.46</v>
      </c>
    </row>
    <row r="29" spans="1:16" x14ac:dyDescent="0.3">
      <c r="A29" s="107">
        <v>43</v>
      </c>
      <c r="B29" s="108">
        <v>43.16</v>
      </c>
      <c r="C29" s="109">
        <v>45</v>
      </c>
      <c r="D29" s="110">
        <v>44.7</v>
      </c>
      <c r="E29" s="107">
        <v>45</v>
      </c>
      <c r="F29" s="108">
        <v>45.04</v>
      </c>
      <c r="G29" s="109">
        <v>46</v>
      </c>
      <c r="H29" s="110">
        <v>45.83</v>
      </c>
      <c r="I29" s="107">
        <v>39</v>
      </c>
      <c r="J29" s="108">
        <v>39.799999999999997</v>
      </c>
      <c r="K29" s="109">
        <v>45</v>
      </c>
      <c r="L29" s="110">
        <v>45.04</v>
      </c>
      <c r="M29" s="107">
        <v>40</v>
      </c>
      <c r="N29" s="108">
        <v>40.14</v>
      </c>
      <c r="O29" s="109">
        <v>41</v>
      </c>
      <c r="P29" s="110">
        <v>41.41</v>
      </c>
    </row>
    <row r="30" spans="1:16" x14ac:dyDescent="0.3">
      <c r="A30" s="107">
        <v>42</v>
      </c>
      <c r="B30" s="108">
        <v>41.76</v>
      </c>
      <c r="C30" s="109">
        <v>44</v>
      </c>
      <c r="D30" s="110">
        <v>44.07</v>
      </c>
      <c r="E30" s="107">
        <v>44</v>
      </c>
      <c r="F30" s="108">
        <v>44.07</v>
      </c>
      <c r="G30" s="109">
        <v>45</v>
      </c>
      <c r="H30" s="110">
        <v>44.7</v>
      </c>
      <c r="I30" s="107">
        <v>38</v>
      </c>
      <c r="J30" s="108">
        <v>38.78</v>
      </c>
      <c r="K30" s="109">
        <v>44</v>
      </c>
      <c r="L30" s="110">
        <v>43.78</v>
      </c>
      <c r="M30" s="107">
        <v>39</v>
      </c>
      <c r="N30" s="108">
        <v>39.090000000000003</v>
      </c>
      <c r="O30" s="109">
        <v>40</v>
      </c>
      <c r="P30" s="110">
        <v>40.14</v>
      </c>
    </row>
    <row r="31" spans="1:16" x14ac:dyDescent="0.3">
      <c r="A31" s="107">
        <v>41</v>
      </c>
      <c r="B31" s="108">
        <v>40.79</v>
      </c>
      <c r="C31" s="109">
        <v>43</v>
      </c>
      <c r="D31" s="110">
        <v>42.81</v>
      </c>
      <c r="E31" s="107">
        <v>43</v>
      </c>
      <c r="F31" s="108">
        <v>42.81</v>
      </c>
      <c r="G31" s="109">
        <v>44</v>
      </c>
      <c r="H31" s="110">
        <v>43.78</v>
      </c>
      <c r="I31" s="107">
        <v>37</v>
      </c>
      <c r="J31" s="108">
        <v>37.840000000000003</v>
      </c>
      <c r="K31" s="109">
        <v>43</v>
      </c>
      <c r="L31" s="110">
        <v>42.46</v>
      </c>
      <c r="M31" s="107">
        <v>38</v>
      </c>
      <c r="N31" s="108">
        <v>37.840000000000003</v>
      </c>
      <c r="O31" s="109">
        <v>39</v>
      </c>
      <c r="P31" s="110">
        <v>38.47</v>
      </c>
    </row>
    <row r="32" spans="1:16" x14ac:dyDescent="0.3">
      <c r="A32" s="107">
        <v>40</v>
      </c>
      <c r="B32" s="108">
        <v>39.799999999999997</v>
      </c>
      <c r="C32" s="109">
        <v>42</v>
      </c>
      <c r="D32" s="110">
        <v>41.76</v>
      </c>
      <c r="E32" s="107">
        <v>42</v>
      </c>
      <c r="F32" s="108">
        <v>41.76</v>
      </c>
      <c r="G32" s="109">
        <v>43</v>
      </c>
      <c r="H32" s="110">
        <v>42.81</v>
      </c>
      <c r="I32" s="107">
        <v>36</v>
      </c>
      <c r="J32" s="108">
        <v>37.18</v>
      </c>
      <c r="K32" s="109">
        <v>42</v>
      </c>
      <c r="L32" s="110">
        <v>41.76</v>
      </c>
      <c r="M32" s="107">
        <v>37</v>
      </c>
      <c r="N32" s="108">
        <v>36.43</v>
      </c>
      <c r="O32" s="109">
        <v>38</v>
      </c>
      <c r="P32" s="110">
        <v>37.520000000000003</v>
      </c>
    </row>
    <row r="33" spans="1:16" x14ac:dyDescent="0.3">
      <c r="A33" s="107">
        <v>39</v>
      </c>
      <c r="B33" s="108">
        <v>38.78</v>
      </c>
      <c r="C33" s="109">
        <v>41</v>
      </c>
      <c r="D33" s="110">
        <v>40.79</v>
      </c>
      <c r="E33" s="107">
        <v>41</v>
      </c>
      <c r="F33" s="108">
        <v>40.79</v>
      </c>
      <c r="G33" s="109">
        <v>42</v>
      </c>
      <c r="H33" s="110">
        <v>41.76</v>
      </c>
      <c r="I33" s="107">
        <v>35</v>
      </c>
      <c r="J33" s="108">
        <v>36.43</v>
      </c>
      <c r="K33" s="109">
        <v>41</v>
      </c>
      <c r="L33" s="110">
        <v>40.79</v>
      </c>
      <c r="M33" s="107">
        <v>36</v>
      </c>
      <c r="N33" s="108">
        <v>35.39</v>
      </c>
      <c r="O33" s="109">
        <v>37</v>
      </c>
      <c r="P33" s="110">
        <v>36.799999999999997</v>
      </c>
    </row>
    <row r="34" spans="1:16" x14ac:dyDescent="0.3">
      <c r="A34" s="107">
        <v>38</v>
      </c>
      <c r="B34" s="108">
        <v>37.840000000000003</v>
      </c>
      <c r="C34" s="109">
        <v>40</v>
      </c>
      <c r="D34" s="110">
        <v>39.799999999999997</v>
      </c>
      <c r="E34" s="107">
        <v>40</v>
      </c>
      <c r="F34" s="108">
        <v>39.799999999999997</v>
      </c>
      <c r="G34" s="109">
        <v>41</v>
      </c>
      <c r="H34" s="110">
        <v>40.79</v>
      </c>
      <c r="I34" s="107">
        <v>34</v>
      </c>
      <c r="J34" s="108">
        <v>35.39</v>
      </c>
      <c r="K34" s="109">
        <v>40</v>
      </c>
      <c r="L34" s="110">
        <v>39.799999999999997</v>
      </c>
      <c r="M34" s="107">
        <v>35</v>
      </c>
      <c r="N34" s="108">
        <v>34.869999999999997</v>
      </c>
      <c r="O34" s="109">
        <v>36</v>
      </c>
      <c r="P34" s="110">
        <v>35.75</v>
      </c>
    </row>
    <row r="35" spans="1:16" x14ac:dyDescent="0.3">
      <c r="A35" s="107">
        <v>37</v>
      </c>
      <c r="B35" s="108">
        <v>36.43</v>
      </c>
      <c r="C35" s="109">
        <v>39</v>
      </c>
      <c r="D35" s="110">
        <v>39.090000000000003</v>
      </c>
      <c r="E35" s="107">
        <v>39</v>
      </c>
      <c r="F35" s="108">
        <v>38.78</v>
      </c>
      <c r="G35" s="109">
        <v>40</v>
      </c>
      <c r="H35" s="110">
        <v>39.799999999999997</v>
      </c>
      <c r="I35" s="107">
        <v>33</v>
      </c>
      <c r="J35" s="108">
        <v>33.909999999999997</v>
      </c>
      <c r="K35" s="109">
        <v>39</v>
      </c>
      <c r="L35" s="110">
        <v>39.090000000000003</v>
      </c>
      <c r="M35" s="107">
        <v>34</v>
      </c>
      <c r="N35" s="108">
        <v>33.18</v>
      </c>
      <c r="O35" s="109">
        <v>35</v>
      </c>
      <c r="P35" s="110">
        <v>34.409999999999997</v>
      </c>
    </row>
    <row r="36" spans="1:16" x14ac:dyDescent="0.3">
      <c r="A36" s="107">
        <v>36</v>
      </c>
      <c r="B36" s="108">
        <v>35.39</v>
      </c>
      <c r="C36" s="109">
        <v>38</v>
      </c>
      <c r="D36" s="110">
        <v>38.14</v>
      </c>
      <c r="E36" s="107">
        <v>38</v>
      </c>
      <c r="F36" s="108">
        <v>37.18</v>
      </c>
      <c r="G36" s="109">
        <v>39</v>
      </c>
      <c r="H36" s="110">
        <v>38.78</v>
      </c>
      <c r="I36" s="107">
        <v>32</v>
      </c>
      <c r="J36" s="108">
        <v>33.18</v>
      </c>
      <c r="K36" s="109">
        <v>38</v>
      </c>
      <c r="L36" s="110">
        <v>38.14</v>
      </c>
      <c r="M36" s="107">
        <v>33</v>
      </c>
      <c r="N36" s="108">
        <v>32.31</v>
      </c>
      <c r="O36" s="109">
        <v>34</v>
      </c>
      <c r="P36" s="110">
        <v>33.18</v>
      </c>
    </row>
    <row r="37" spans="1:16" x14ac:dyDescent="0.3">
      <c r="A37" s="107">
        <v>35</v>
      </c>
      <c r="B37" s="108">
        <v>34.869999999999997</v>
      </c>
      <c r="C37" s="109">
        <v>37</v>
      </c>
      <c r="D37" s="110">
        <v>37.18</v>
      </c>
      <c r="E37" s="107">
        <v>37</v>
      </c>
      <c r="F37" s="108">
        <v>36.090000000000003</v>
      </c>
      <c r="G37" s="109">
        <v>38</v>
      </c>
      <c r="H37" s="110">
        <v>38.14</v>
      </c>
      <c r="I37" s="107">
        <v>31</v>
      </c>
      <c r="J37" s="108">
        <v>32.31</v>
      </c>
      <c r="K37" s="109">
        <v>37</v>
      </c>
      <c r="L37" s="110">
        <v>37.18</v>
      </c>
      <c r="M37" s="107">
        <v>32</v>
      </c>
      <c r="N37" s="108">
        <v>31.25</v>
      </c>
      <c r="O37" s="109">
        <v>33</v>
      </c>
      <c r="P37" s="110">
        <v>32.31</v>
      </c>
    </row>
    <row r="38" spans="1:16" ht="13.5" thickBot="1" x14ac:dyDescent="0.35">
      <c r="A38" s="107">
        <v>34</v>
      </c>
      <c r="B38" s="108">
        <v>33.909999999999997</v>
      </c>
      <c r="C38" s="109">
        <v>36</v>
      </c>
      <c r="D38" s="110">
        <v>36.43</v>
      </c>
      <c r="E38" s="107">
        <v>36</v>
      </c>
      <c r="F38" s="108">
        <v>34.869999999999997</v>
      </c>
      <c r="G38" s="109">
        <v>37</v>
      </c>
      <c r="H38" s="110">
        <v>37.18</v>
      </c>
      <c r="I38" s="107">
        <v>30</v>
      </c>
      <c r="J38" s="108">
        <v>31.25</v>
      </c>
      <c r="K38" s="109">
        <v>36</v>
      </c>
      <c r="L38" s="110">
        <v>35.75</v>
      </c>
      <c r="M38" s="111" t="s">
        <v>263</v>
      </c>
      <c r="N38" s="112">
        <v>29.62</v>
      </c>
      <c r="O38" s="109">
        <v>32</v>
      </c>
      <c r="P38" s="110">
        <v>31.25</v>
      </c>
    </row>
    <row r="39" spans="1:16" ht="13.5" thickBot="1" x14ac:dyDescent="0.35">
      <c r="A39" s="107">
        <v>33</v>
      </c>
      <c r="B39" s="108">
        <v>33.18</v>
      </c>
      <c r="C39" s="109">
        <v>35</v>
      </c>
      <c r="D39" s="110">
        <v>35.75</v>
      </c>
      <c r="E39" s="107">
        <v>35</v>
      </c>
      <c r="F39" s="108">
        <v>34.409999999999997</v>
      </c>
      <c r="G39" s="109">
        <v>36</v>
      </c>
      <c r="H39" s="110">
        <v>36.43</v>
      </c>
      <c r="I39" s="111" t="s">
        <v>264</v>
      </c>
      <c r="J39" s="112">
        <v>29.62</v>
      </c>
      <c r="K39" s="109">
        <v>35</v>
      </c>
      <c r="L39" s="110">
        <v>34.409999999999997</v>
      </c>
      <c r="M39" s="113"/>
      <c r="N39" s="113"/>
      <c r="O39" s="114" t="s">
        <v>263</v>
      </c>
      <c r="P39" s="115">
        <v>29.62</v>
      </c>
    </row>
    <row r="40" spans="1:16" x14ac:dyDescent="0.3">
      <c r="A40" s="107">
        <v>32</v>
      </c>
      <c r="B40" s="108">
        <v>31.25</v>
      </c>
      <c r="C40" s="109">
        <v>34</v>
      </c>
      <c r="D40" s="110">
        <v>34.869999999999997</v>
      </c>
      <c r="E40" s="107">
        <v>34</v>
      </c>
      <c r="F40" s="108">
        <v>33.18</v>
      </c>
      <c r="G40" s="109">
        <v>35</v>
      </c>
      <c r="H40" s="110">
        <v>35.39</v>
      </c>
      <c r="I40" s="113"/>
      <c r="J40" s="113"/>
      <c r="K40" s="109">
        <v>34</v>
      </c>
      <c r="L40" s="110">
        <v>33.909999999999997</v>
      </c>
      <c r="M40" s="113"/>
      <c r="N40" s="113"/>
      <c r="O40" s="113"/>
      <c r="P40" s="113"/>
    </row>
    <row r="41" spans="1:16" x14ac:dyDescent="0.3">
      <c r="A41" s="107">
        <v>31</v>
      </c>
      <c r="B41" s="108">
        <v>30.43</v>
      </c>
      <c r="C41" s="109">
        <v>33</v>
      </c>
      <c r="D41" s="110">
        <v>33.909999999999997</v>
      </c>
      <c r="E41" s="107">
        <v>33</v>
      </c>
      <c r="F41" s="108">
        <v>32.31</v>
      </c>
      <c r="G41" s="109">
        <v>34</v>
      </c>
      <c r="H41" s="110">
        <v>33.909999999999997</v>
      </c>
      <c r="I41" s="113"/>
      <c r="J41" s="113"/>
      <c r="K41" s="109">
        <v>33</v>
      </c>
      <c r="L41" s="110">
        <v>32.31</v>
      </c>
      <c r="M41" s="113"/>
      <c r="N41" s="113"/>
      <c r="O41" s="113"/>
      <c r="P41" s="113"/>
    </row>
    <row r="42" spans="1:16" ht="13.5" thickBot="1" x14ac:dyDescent="0.35">
      <c r="A42" s="111" t="s">
        <v>265</v>
      </c>
      <c r="B42" s="112">
        <v>29.62</v>
      </c>
      <c r="C42" s="109">
        <v>32</v>
      </c>
      <c r="D42" s="110">
        <v>33.18</v>
      </c>
      <c r="E42" s="107">
        <v>32</v>
      </c>
      <c r="F42" s="108">
        <v>31.25</v>
      </c>
      <c r="G42" s="109">
        <v>33</v>
      </c>
      <c r="H42" s="110">
        <v>33.18</v>
      </c>
      <c r="I42" s="113"/>
      <c r="J42" s="113"/>
      <c r="K42" s="109">
        <v>32</v>
      </c>
      <c r="L42" s="110">
        <v>31.78</v>
      </c>
      <c r="M42" s="113"/>
      <c r="N42" s="113"/>
      <c r="O42" s="113"/>
      <c r="P42" s="113"/>
    </row>
    <row r="43" spans="1:16" x14ac:dyDescent="0.3">
      <c r="A43" s="113"/>
      <c r="B43" s="113"/>
      <c r="C43" s="109">
        <v>31</v>
      </c>
      <c r="D43" s="110">
        <v>32.31</v>
      </c>
      <c r="E43" s="107">
        <v>31</v>
      </c>
      <c r="F43" s="108">
        <v>30.43</v>
      </c>
      <c r="G43" s="109">
        <v>32</v>
      </c>
      <c r="H43" s="110">
        <v>32.31</v>
      </c>
      <c r="I43" s="113"/>
      <c r="J43" s="113"/>
      <c r="K43" s="109">
        <v>31</v>
      </c>
      <c r="L43" s="110">
        <v>31.25</v>
      </c>
      <c r="M43" s="113"/>
      <c r="N43" s="113"/>
      <c r="O43" s="113"/>
      <c r="P43" s="113"/>
    </row>
    <row r="44" spans="1:16" ht="13.5" thickBot="1" x14ac:dyDescent="0.35">
      <c r="A44" s="113"/>
      <c r="B44" s="113"/>
      <c r="C44" s="109">
        <v>30</v>
      </c>
      <c r="D44" s="110">
        <v>31.25</v>
      </c>
      <c r="E44" s="111" t="s">
        <v>265</v>
      </c>
      <c r="F44" s="112">
        <v>29.62</v>
      </c>
      <c r="G44" s="109">
        <v>31</v>
      </c>
      <c r="H44" s="110">
        <v>31.25</v>
      </c>
      <c r="I44" s="113"/>
      <c r="J44" s="113"/>
      <c r="K44" s="109">
        <v>30</v>
      </c>
      <c r="L44" s="110">
        <v>30.43</v>
      </c>
      <c r="M44" s="113"/>
      <c r="N44" s="113"/>
      <c r="O44" s="113"/>
      <c r="P44" s="113"/>
    </row>
    <row r="45" spans="1:16" ht="13.5" thickBot="1" x14ac:dyDescent="0.35">
      <c r="A45" s="113"/>
      <c r="B45" s="113"/>
      <c r="C45" s="109">
        <v>29</v>
      </c>
      <c r="D45" s="110">
        <v>30.43</v>
      </c>
      <c r="E45" s="113"/>
      <c r="F45" s="113"/>
      <c r="G45" s="109">
        <v>30</v>
      </c>
      <c r="H45" s="110">
        <v>30.43</v>
      </c>
      <c r="I45" s="113"/>
      <c r="J45" s="113"/>
      <c r="K45" s="114" t="s">
        <v>264</v>
      </c>
      <c r="L45" s="115">
        <v>29.62</v>
      </c>
      <c r="M45" s="113"/>
      <c r="N45" s="113"/>
      <c r="O45" s="113"/>
      <c r="P45" s="113"/>
    </row>
    <row r="46" spans="1:16" ht="13.5" thickBot="1" x14ac:dyDescent="0.35">
      <c r="A46" s="113"/>
      <c r="B46" s="113"/>
      <c r="C46" s="114" t="s">
        <v>266</v>
      </c>
      <c r="D46" s="115">
        <v>29.62</v>
      </c>
      <c r="E46" s="113"/>
      <c r="F46" s="113"/>
      <c r="G46" s="114" t="s">
        <v>264</v>
      </c>
      <c r="H46" s="115">
        <v>29.62</v>
      </c>
      <c r="I46" s="113"/>
      <c r="J46" s="113"/>
      <c r="K46" s="113"/>
      <c r="L46" s="113"/>
      <c r="M46" s="113"/>
      <c r="N46" s="113"/>
      <c r="O46" s="113"/>
      <c r="P46" s="113"/>
    </row>
    <row r="47" spans="1:16" x14ac:dyDescent="0.3">
      <c r="A47" s="113"/>
      <c r="B47" s="113"/>
      <c r="C47" s="113"/>
      <c r="D47" s="113"/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3"/>
    </row>
    <row r="48" spans="1:16" x14ac:dyDescent="0.3">
      <c r="A48" s="113"/>
      <c r="B48" s="113"/>
      <c r="C48" s="113"/>
      <c r="D48" s="113"/>
      <c r="E48" s="113"/>
      <c r="F48" s="113"/>
      <c r="G48" s="113"/>
      <c r="H48" s="113"/>
      <c r="I48" s="113"/>
      <c r="J48" s="113"/>
      <c r="K48" s="113"/>
      <c r="L48" s="113"/>
      <c r="M48" s="113"/>
      <c r="N48" s="113"/>
      <c r="O48" s="113"/>
      <c r="P48" s="113"/>
    </row>
  </sheetData>
  <sheetProtection password="B7A3" sheet="1" objects="1" scenarios="1" selectLockedCells="1"/>
  <mergeCells count="8">
    <mergeCell ref="K1:L1"/>
    <mergeCell ref="M1:N1"/>
    <mergeCell ref="O1:P1"/>
    <mergeCell ref="A1:B1"/>
    <mergeCell ref="C1:D1"/>
    <mergeCell ref="E1:F1"/>
    <mergeCell ref="G1:H1"/>
    <mergeCell ref="I1:J1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04"/>
  <sheetViews>
    <sheetView topLeftCell="A60" workbookViewId="0">
      <selection activeCell="N93" sqref="N93"/>
    </sheetView>
  </sheetViews>
  <sheetFormatPr defaultRowHeight="16.5" x14ac:dyDescent="0.3"/>
  <cols>
    <col min="1" max="1" width="3.125" customWidth="1"/>
    <col min="5" max="5" width="3.125" customWidth="1"/>
    <col min="9" max="9" width="3.125" customWidth="1"/>
    <col min="12" max="12" width="3.125" customWidth="1"/>
  </cols>
  <sheetData>
    <row r="2" spans="2:17" x14ac:dyDescent="0.3">
      <c r="B2" s="204" t="s">
        <v>296</v>
      </c>
      <c r="C2" s="204"/>
      <c r="D2" s="204"/>
      <c r="F2" s="204" t="s">
        <v>297</v>
      </c>
      <c r="G2" s="204"/>
      <c r="H2" s="204"/>
      <c r="I2" s="137"/>
    </row>
    <row r="3" spans="2:17" x14ac:dyDescent="0.3">
      <c r="B3" s="136" t="s">
        <v>293</v>
      </c>
      <c r="C3" s="136" t="s">
        <v>9</v>
      </c>
      <c r="D3" s="136" t="s">
        <v>8</v>
      </c>
      <c r="F3" s="134" t="s">
        <v>293</v>
      </c>
      <c r="G3" s="135" t="s">
        <v>9</v>
      </c>
      <c r="H3" s="134" t="s">
        <v>8</v>
      </c>
      <c r="I3" s="138"/>
      <c r="J3" s="140" t="s">
        <v>294</v>
      </c>
      <c r="K3" s="140" t="s">
        <v>295</v>
      </c>
      <c r="M3" s="3"/>
      <c r="Q3" s="3"/>
    </row>
    <row r="4" spans="2:17" x14ac:dyDescent="0.3">
      <c r="B4" s="136">
        <v>100</v>
      </c>
      <c r="C4" s="136">
        <v>66.400000000000006</v>
      </c>
      <c r="D4" s="136">
        <v>69.62</v>
      </c>
      <c r="F4" s="134">
        <v>100</v>
      </c>
      <c r="G4" s="135">
        <v>66.400000000000006</v>
      </c>
      <c r="H4" s="135">
        <v>69.63</v>
      </c>
      <c r="I4" s="139"/>
      <c r="J4" s="141">
        <f>C4-G4</f>
        <v>0</v>
      </c>
      <c r="K4" s="141">
        <f>D4-H4</f>
        <v>-9.9999999999909051E-3</v>
      </c>
      <c r="M4" s="3"/>
      <c r="Q4" s="3"/>
    </row>
    <row r="5" spans="2:17" x14ac:dyDescent="0.3">
      <c r="B5" s="136">
        <v>99</v>
      </c>
      <c r="C5" s="136">
        <v>66.2</v>
      </c>
      <c r="D5" s="136">
        <v>68.5</v>
      </c>
      <c r="F5" s="134">
        <v>99</v>
      </c>
      <c r="G5" s="135">
        <v>66.2</v>
      </c>
      <c r="H5" s="135">
        <v>68.5</v>
      </c>
      <c r="I5" s="139"/>
      <c r="J5" s="141">
        <f t="shared" ref="J5:J68" si="0">C5-G5</f>
        <v>0</v>
      </c>
      <c r="K5" s="141">
        <f t="shared" ref="K5:K68" si="1">D5-H5</f>
        <v>0</v>
      </c>
      <c r="M5" s="3"/>
      <c r="Q5" s="3"/>
    </row>
    <row r="6" spans="2:17" x14ac:dyDescent="0.3">
      <c r="B6" s="136">
        <v>98</v>
      </c>
      <c r="C6" s="136">
        <v>65.849999999999994</v>
      </c>
      <c r="D6" s="136">
        <v>67.25</v>
      </c>
      <c r="F6" s="134">
        <v>98</v>
      </c>
      <c r="G6" s="135">
        <v>65.849999999999994</v>
      </c>
      <c r="H6" s="135">
        <v>67.25</v>
      </c>
      <c r="I6" s="139"/>
      <c r="J6" s="141">
        <f t="shared" si="0"/>
        <v>0</v>
      </c>
      <c r="K6" s="141">
        <f t="shared" si="1"/>
        <v>0</v>
      </c>
      <c r="M6" s="3"/>
      <c r="Q6" s="3"/>
    </row>
    <row r="7" spans="2:17" x14ac:dyDescent="0.3">
      <c r="B7" s="136">
        <v>97</v>
      </c>
      <c r="C7" s="136">
        <v>65.48</v>
      </c>
      <c r="D7" s="136">
        <v>66.459999999999994</v>
      </c>
      <c r="F7" s="134">
        <v>97</v>
      </c>
      <c r="G7" s="135">
        <v>65.48</v>
      </c>
      <c r="H7" s="135">
        <v>66.47</v>
      </c>
      <c r="I7" s="139"/>
      <c r="J7" s="141">
        <f t="shared" si="0"/>
        <v>0</v>
      </c>
      <c r="K7" s="141">
        <f t="shared" si="1"/>
        <v>-1.0000000000005116E-2</v>
      </c>
      <c r="M7" s="3"/>
      <c r="Q7" s="3"/>
    </row>
    <row r="8" spans="2:17" x14ac:dyDescent="0.3">
      <c r="B8" s="136">
        <v>96</v>
      </c>
      <c r="C8" s="136">
        <v>65.099999999999994</v>
      </c>
      <c r="D8" s="136">
        <v>65.83</v>
      </c>
      <c r="F8" s="134">
        <v>96</v>
      </c>
      <c r="G8" s="135">
        <v>65.099999999999994</v>
      </c>
      <c r="H8" s="135">
        <v>65.83</v>
      </c>
      <c r="I8" s="139"/>
      <c r="J8" s="141">
        <f t="shared" si="0"/>
        <v>0</v>
      </c>
      <c r="K8" s="141">
        <f t="shared" si="1"/>
        <v>0</v>
      </c>
      <c r="M8" s="3"/>
      <c r="Q8" s="3"/>
    </row>
    <row r="9" spans="2:17" x14ac:dyDescent="0.3">
      <c r="B9" s="136">
        <v>95</v>
      </c>
      <c r="C9" s="136">
        <v>64.7</v>
      </c>
      <c r="D9" s="136">
        <v>65.319999999999993</v>
      </c>
      <c r="F9" s="134">
        <v>95</v>
      </c>
      <c r="G9" s="135">
        <v>64.7</v>
      </c>
      <c r="H9" s="135">
        <v>65.319999999999993</v>
      </c>
      <c r="I9" s="139"/>
      <c r="J9" s="141">
        <f t="shared" si="0"/>
        <v>0</v>
      </c>
      <c r="K9" s="141">
        <f t="shared" si="1"/>
        <v>0</v>
      </c>
      <c r="M9" s="3"/>
      <c r="Q9" s="3"/>
    </row>
    <row r="10" spans="2:17" x14ac:dyDescent="0.3">
      <c r="B10" s="136">
        <v>94</v>
      </c>
      <c r="C10" s="136">
        <v>64.33</v>
      </c>
      <c r="D10" s="136">
        <v>64.81</v>
      </c>
      <c r="F10" s="134">
        <v>94</v>
      </c>
      <c r="G10" s="135">
        <v>64.33</v>
      </c>
      <c r="H10" s="135">
        <v>64.81</v>
      </c>
      <c r="I10" s="139"/>
      <c r="J10" s="141">
        <f t="shared" si="0"/>
        <v>0</v>
      </c>
      <c r="K10" s="141">
        <f t="shared" si="1"/>
        <v>0</v>
      </c>
      <c r="M10" s="3"/>
      <c r="Q10" s="3"/>
    </row>
    <row r="11" spans="2:17" x14ac:dyDescent="0.3">
      <c r="B11" s="136">
        <v>93</v>
      </c>
      <c r="C11" s="136">
        <v>64.02</v>
      </c>
      <c r="D11" s="136">
        <v>64.36</v>
      </c>
      <c r="F11" s="134">
        <v>93</v>
      </c>
      <c r="G11" s="135">
        <v>64.03</v>
      </c>
      <c r="H11" s="135">
        <v>64.36</v>
      </c>
      <c r="I11" s="139"/>
      <c r="J11" s="141">
        <f t="shared" si="0"/>
        <v>-1.0000000000005116E-2</v>
      </c>
      <c r="K11" s="141">
        <f t="shared" si="1"/>
        <v>0</v>
      </c>
      <c r="M11" s="3"/>
      <c r="Q11" s="3"/>
    </row>
    <row r="12" spans="2:17" x14ac:dyDescent="0.3">
      <c r="B12" s="136">
        <v>92</v>
      </c>
      <c r="C12" s="136">
        <v>63.7</v>
      </c>
      <c r="D12" s="136">
        <v>63.91</v>
      </c>
      <c r="F12" s="134">
        <v>92</v>
      </c>
      <c r="G12" s="135">
        <v>63.7</v>
      </c>
      <c r="H12" s="135">
        <v>63.92</v>
      </c>
      <c r="I12" s="139"/>
      <c r="J12" s="141">
        <f t="shared" si="0"/>
        <v>0</v>
      </c>
      <c r="K12" s="141">
        <f t="shared" si="1"/>
        <v>-1.0000000000005116E-2</v>
      </c>
      <c r="M12" s="3"/>
      <c r="Q12" s="3"/>
    </row>
    <row r="13" spans="2:17" x14ac:dyDescent="0.3">
      <c r="B13" s="136">
        <v>91</v>
      </c>
      <c r="C13" s="136">
        <v>63.38</v>
      </c>
      <c r="D13" s="136">
        <v>63.53</v>
      </c>
      <c r="F13" s="134">
        <v>91</v>
      </c>
      <c r="G13" s="135">
        <v>63.39</v>
      </c>
      <c r="H13" s="135">
        <v>63.53</v>
      </c>
      <c r="I13" s="139"/>
      <c r="J13" s="141">
        <f t="shared" si="0"/>
        <v>-9.9999999999980105E-3</v>
      </c>
      <c r="K13" s="141">
        <f t="shared" si="1"/>
        <v>0</v>
      </c>
      <c r="M13" s="3"/>
      <c r="Q13" s="3"/>
    </row>
    <row r="14" spans="2:17" x14ac:dyDescent="0.3">
      <c r="B14" s="136">
        <v>90</v>
      </c>
      <c r="C14" s="136">
        <v>63.02</v>
      </c>
      <c r="D14" s="136">
        <v>63.13</v>
      </c>
      <c r="F14" s="134">
        <v>90</v>
      </c>
      <c r="G14" s="135">
        <v>63.03</v>
      </c>
      <c r="H14" s="135">
        <v>63.14</v>
      </c>
      <c r="I14" s="139"/>
      <c r="J14" s="141">
        <f t="shared" si="0"/>
        <v>-9.9999999999980105E-3</v>
      </c>
      <c r="K14" s="141">
        <f t="shared" si="1"/>
        <v>-9.9999999999980105E-3</v>
      </c>
      <c r="M14" s="3"/>
      <c r="Q14" s="3"/>
    </row>
    <row r="15" spans="2:17" x14ac:dyDescent="0.3">
      <c r="B15" s="136">
        <v>89</v>
      </c>
      <c r="C15" s="136">
        <v>62.74</v>
      </c>
      <c r="D15" s="136">
        <v>62.78</v>
      </c>
      <c r="F15" s="134">
        <v>89</v>
      </c>
      <c r="G15" s="135">
        <v>62.74</v>
      </c>
      <c r="H15" s="135">
        <v>62.78</v>
      </c>
      <c r="I15" s="139"/>
      <c r="J15" s="141">
        <f t="shared" si="0"/>
        <v>0</v>
      </c>
      <c r="K15" s="141">
        <f t="shared" si="1"/>
        <v>0</v>
      </c>
      <c r="M15" s="3"/>
      <c r="Q15" s="3"/>
    </row>
    <row r="16" spans="2:17" x14ac:dyDescent="0.3">
      <c r="B16" s="136">
        <v>88</v>
      </c>
      <c r="C16" s="136">
        <v>62.47</v>
      </c>
      <c r="D16" s="136">
        <v>62.47</v>
      </c>
      <c r="F16" s="134">
        <v>88</v>
      </c>
      <c r="G16" s="135">
        <v>62.47</v>
      </c>
      <c r="H16" s="135">
        <v>62.48</v>
      </c>
      <c r="I16" s="139"/>
      <c r="J16" s="141">
        <f t="shared" si="0"/>
        <v>0</v>
      </c>
      <c r="K16" s="141">
        <f t="shared" si="1"/>
        <v>-9.9999999999980105E-3</v>
      </c>
      <c r="M16" s="3"/>
      <c r="Q16" s="3"/>
    </row>
    <row r="17" spans="2:17" x14ac:dyDescent="0.3">
      <c r="B17" s="136">
        <v>87</v>
      </c>
      <c r="C17" s="136">
        <v>62.18</v>
      </c>
      <c r="D17" s="136">
        <v>62.17</v>
      </c>
      <c r="F17" s="134">
        <v>87</v>
      </c>
      <c r="G17" s="135">
        <v>62.19</v>
      </c>
      <c r="H17" s="135">
        <v>62.18</v>
      </c>
      <c r="I17" s="139"/>
      <c r="J17" s="141">
        <f t="shared" si="0"/>
        <v>-9.9999999999980105E-3</v>
      </c>
      <c r="K17" s="141">
        <f t="shared" si="1"/>
        <v>-9.9999999999980105E-3</v>
      </c>
      <c r="M17" s="3"/>
      <c r="Q17" s="3"/>
    </row>
    <row r="18" spans="2:17" x14ac:dyDescent="0.3">
      <c r="B18" s="136">
        <v>86</v>
      </c>
      <c r="C18" s="136">
        <v>61.89</v>
      </c>
      <c r="D18" s="136">
        <v>61.82</v>
      </c>
      <c r="F18" s="134">
        <v>86</v>
      </c>
      <c r="G18" s="135">
        <v>61.9</v>
      </c>
      <c r="H18" s="135">
        <v>61.82</v>
      </c>
      <c r="I18" s="139"/>
      <c r="J18" s="141">
        <f t="shared" si="0"/>
        <v>-9.9999999999980105E-3</v>
      </c>
      <c r="K18" s="141">
        <f t="shared" si="1"/>
        <v>0</v>
      </c>
      <c r="M18" s="3"/>
      <c r="Q18" s="3"/>
    </row>
    <row r="19" spans="2:17" x14ac:dyDescent="0.3">
      <c r="B19" s="136">
        <v>85</v>
      </c>
      <c r="C19" s="136">
        <v>61.64</v>
      </c>
      <c r="D19" s="136">
        <v>61.47</v>
      </c>
      <c r="F19" s="134">
        <v>85</v>
      </c>
      <c r="G19" s="135">
        <v>61.65</v>
      </c>
      <c r="H19" s="135">
        <v>61.48</v>
      </c>
      <c r="I19" s="139"/>
      <c r="J19" s="141">
        <f t="shared" si="0"/>
        <v>-9.9999999999980105E-3</v>
      </c>
      <c r="K19" s="141">
        <f t="shared" si="1"/>
        <v>-9.9999999999980105E-3</v>
      </c>
      <c r="M19" s="3"/>
      <c r="Q19" s="3"/>
    </row>
    <row r="20" spans="2:17" x14ac:dyDescent="0.3">
      <c r="B20" s="136">
        <v>84</v>
      </c>
      <c r="C20" s="136">
        <v>61.38</v>
      </c>
      <c r="D20" s="136">
        <v>61.14</v>
      </c>
      <c r="F20" s="134">
        <v>84</v>
      </c>
      <c r="G20" s="135">
        <v>61.39</v>
      </c>
      <c r="H20" s="135">
        <v>61.15</v>
      </c>
      <c r="I20" s="139"/>
      <c r="J20" s="141">
        <f t="shared" si="0"/>
        <v>-9.9999999999980105E-3</v>
      </c>
      <c r="K20" s="141">
        <f t="shared" si="1"/>
        <v>-9.9999999999980105E-3</v>
      </c>
      <c r="M20" s="3"/>
      <c r="Q20" s="3"/>
    </row>
    <row r="21" spans="2:17" x14ac:dyDescent="0.3">
      <c r="B21" s="136">
        <v>83</v>
      </c>
      <c r="C21" s="136">
        <v>61.1</v>
      </c>
      <c r="D21" s="136">
        <v>60.8</v>
      </c>
      <c r="F21" s="134">
        <v>83</v>
      </c>
      <c r="G21" s="135">
        <v>61.11</v>
      </c>
      <c r="H21" s="135">
        <v>60.8</v>
      </c>
      <c r="I21" s="139"/>
      <c r="J21" s="141">
        <f t="shared" si="0"/>
        <v>-9.9999999999980105E-3</v>
      </c>
      <c r="K21" s="141">
        <f t="shared" si="1"/>
        <v>0</v>
      </c>
      <c r="M21" s="3"/>
      <c r="Q21" s="3"/>
    </row>
    <row r="22" spans="2:17" x14ac:dyDescent="0.3">
      <c r="B22" s="136">
        <v>82</v>
      </c>
      <c r="C22" s="136">
        <v>60.79</v>
      </c>
      <c r="D22" s="136">
        <v>60.48</v>
      </c>
      <c r="F22" s="134">
        <v>82</v>
      </c>
      <c r="G22" s="135">
        <v>60.8</v>
      </c>
      <c r="H22" s="135">
        <v>60.49</v>
      </c>
      <c r="I22" s="139"/>
      <c r="J22" s="141">
        <f t="shared" si="0"/>
        <v>-9.9999999999980105E-3</v>
      </c>
      <c r="K22" s="141">
        <f t="shared" si="1"/>
        <v>-1.0000000000005116E-2</v>
      </c>
      <c r="M22" s="3"/>
      <c r="Q22" s="3"/>
    </row>
    <row r="23" spans="2:17" x14ac:dyDescent="0.3">
      <c r="B23" s="136">
        <v>81</v>
      </c>
      <c r="C23" s="136">
        <v>60.46</v>
      </c>
      <c r="D23" s="136">
        <v>60.21</v>
      </c>
      <c r="F23" s="134">
        <v>81</v>
      </c>
      <c r="G23" s="135">
        <v>60.47</v>
      </c>
      <c r="H23" s="135">
        <v>60.21</v>
      </c>
      <c r="I23" s="139"/>
      <c r="J23" s="141">
        <f t="shared" si="0"/>
        <v>-9.9999999999980105E-3</v>
      </c>
      <c r="K23" s="141">
        <f t="shared" si="1"/>
        <v>0</v>
      </c>
      <c r="M23" s="3"/>
      <c r="Q23" s="3"/>
    </row>
    <row r="24" spans="2:17" x14ac:dyDescent="0.3">
      <c r="B24" s="136">
        <v>80</v>
      </c>
      <c r="C24" s="136">
        <v>60.15</v>
      </c>
      <c r="D24" s="136">
        <v>59.91</v>
      </c>
      <c r="F24" s="134">
        <v>80</v>
      </c>
      <c r="G24" s="135">
        <v>60.16</v>
      </c>
      <c r="H24" s="135">
        <v>59.91</v>
      </c>
      <c r="I24" s="139"/>
      <c r="J24" s="141">
        <f t="shared" si="0"/>
        <v>-9.9999999999980105E-3</v>
      </c>
      <c r="K24" s="141">
        <f t="shared" si="1"/>
        <v>0</v>
      </c>
      <c r="M24" s="3"/>
      <c r="Q24" s="3"/>
    </row>
    <row r="25" spans="2:17" x14ac:dyDescent="0.3">
      <c r="B25" s="136">
        <v>79</v>
      </c>
      <c r="C25" s="136">
        <v>59.9</v>
      </c>
      <c r="D25" s="136">
        <v>59.61</v>
      </c>
      <c r="F25" s="134">
        <v>79</v>
      </c>
      <c r="G25" s="135">
        <v>59.91</v>
      </c>
      <c r="H25" s="135">
        <v>59.62</v>
      </c>
      <c r="I25" s="139"/>
      <c r="J25" s="141">
        <f t="shared" si="0"/>
        <v>-9.9999999999980105E-3</v>
      </c>
      <c r="K25" s="141">
        <f t="shared" si="1"/>
        <v>-9.9999999999980105E-3</v>
      </c>
      <c r="M25" s="3"/>
      <c r="Q25" s="3"/>
    </row>
    <row r="26" spans="2:17" x14ac:dyDescent="0.3">
      <c r="B26" s="136">
        <v>78</v>
      </c>
      <c r="C26" s="136">
        <v>59.64</v>
      </c>
      <c r="D26" s="136">
        <v>59.32</v>
      </c>
      <c r="F26" s="134">
        <v>78</v>
      </c>
      <c r="G26" s="135">
        <v>59.65</v>
      </c>
      <c r="H26" s="135">
        <v>59.32</v>
      </c>
      <c r="I26" s="139"/>
      <c r="J26" s="141">
        <f t="shared" si="0"/>
        <v>-9.9999999999980105E-3</v>
      </c>
      <c r="K26" s="141">
        <f t="shared" si="1"/>
        <v>0</v>
      </c>
      <c r="M26" s="3"/>
      <c r="Q26" s="3"/>
    </row>
    <row r="27" spans="2:17" x14ac:dyDescent="0.3">
      <c r="B27" s="136">
        <v>77</v>
      </c>
      <c r="C27" s="136">
        <v>59.34</v>
      </c>
      <c r="D27" s="136">
        <v>59.01</v>
      </c>
      <c r="F27" s="134">
        <v>77</v>
      </c>
      <c r="G27" s="135">
        <v>59.34</v>
      </c>
      <c r="H27" s="135">
        <v>59.01</v>
      </c>
      <c r="I27" s="139"/>
      <c r="J27" s="141">
        <f t="shared" si="0"/>
        <v>0</v>
      </c>
      <c r="K27" s="141">
        <f t="shared" si="1"/>
        <v>0</v>
      </c>
      <c r="M27" s="3"/>
      <c r="Q27" s="3"/>
    </row>
    <row r="28" spans="2:17" x14ac:dyDescent="0.3">
      <c r="B28" s="136">
        <v>76</v>
      </c>
      <c r="C28" s="136">
        <v>59.03</v>
      </c>
      <c r="D28" s="136">
        <v>58.69</v>
      </c>
      <c r="F28" s="134">
        <v>76</v>
      </c>
      <c r="G28" s="135">
        <v>59.03</v>
      </c>
      <c r="H28" s="135">
        <v>58.7</v>
      </c>
      <c r="I28" s="139"/>
      <c r="J28" s="141">
        <f t="shared" si="0"/>
        <v>0</v>
      </c>
      <c r="K28" s="141">
        <f t="shared" si="1"/>
        <v>-1.0000000000005116E-2</v>
      </c>
      <c r="M28" s="3"/>
      <c r="Q28" s="3"/>
    </row>
    <row r="29" spans="2:17" x14ac:dyDescent="0.3">
      <c r="B29" s="136">
        <v>75</v>
      </c>
      <c r="C29" s="136">
        <v>58.75</v>
      </c>
      <c r="D29" s="136">
        <v>58.42</v>
      </c>
      <c r="F29" s="134">
        <v>75</v>
      </c>
      <c r="G29" s="135">
        <v>58.76</v>
      </c>
      <c r="H29" s="135">
        <v>58.42</v>
      </c>
      <c r="I29" s="139"/>
      <c r="J29" s="141">
        <f t="shared" si="0"/>
        <v>-9.9999999999980105E-3</v>
      </c>
      <c r="K29" s="141">
        <f t="shared" si="1"/>
        <v>0</v>
      </c>
      <c r="M29" s="3"/>
      <c r="Q29" s="3"/>
    </row>
    <row r="30" spans="2:17" x14ac:dyDescent="0.3">
      <c r="B30" s="136">
        <v>74</v>
      </c>
      <c r="C30" s="136">
        <v>58.48</v>
      </c>
      <c r="D30" s="136">
        <v>58.17</v>
      </c>
      <c r="F30" s="134">
        <v>74</v>
      </c>
      <c r="G30" s="135">
        <v>58.48</v>
      </c>
      <c r="H30" s="135">
        <v>58.18</v>
      </c>
      <c r="I30" s="139"/>
      <c r="J30" s="141">
        <f t="shared" si="0"/>
        <v>0</v>
      </c>
      <c r="K30" s="141">
        <f t="shared" si="1"/>
        <v>-9.9999999999980105E-3</v>
      </c>
      <c r="M30" s="3"/>
      <c r="Q30" s="3"/>
    </row>
    <row r="31" spans="2:17" x14ac:dyDescent="0.3">
      <c r="B31" s="136">
        <v>73</v>
      </c>
      <c r="C31" s="136">
        <v>58.19</v>
      </c>
      <c r="D31" s="136">
        <v>57.89</v>
      </c>
      <c r="F31" s="134">
        <v>73</v>
      </c>
      <c r="G31" s="135">
        <v>58.2</v>
      </c>
      <c r="H31" s="135">
        <v>57.9</v>
      </c>
      <c r="I31" s="139"/>
      <c r="J31" s="141">
        <f t="shared" si="0"/>
        <v>-1.0000000000005116E-2</v>
      </c>
      <c r="K31" s="141">
        <f t="shared" si="1"/>
        <v>-9.9999999999980105E-3</v>
      </c>
      <c r="M31" s="3"/>
      <c r="Q31" s="3"/>
    </row>
    <row r="32" spans="2:17" x14ac:dyDescent="0.3">
      <c r="B32" s="136">
        <v>72</v>
      </c>
      <c r="C32" s="136">
        <v>57.93</v>
      </c>
      <c r="D32" s="136">
        <v>57.6</v>
      </c>
      <c r="F32" s="134">
        <v>72</v>
      </c>
      <c r="G32" s="135">
        <v>57.93</v>
      </c>
      <c r="H32" s="135">
        <v>57.61</v>
      </c>
      <c r="I32" s="139"/>
      <c r="J32" s="141">
        <f t="shared" si="0"/>
        <v>0</v>
      </c>
      <c r="K32" s="141">
        <f t="shared" si="1"/>
        <v>-9.9999999999980105E-3</v>
      </c>
      <c r="M32" s="3"/>
      <c r="Q32" s="3"/>
    </row>
    <row r="33" spans="2:17" x14ac:dyDescent="0.3">
      <c r="B33" s="136">
        <v>71</v>
      </c>
      <c r="C33" s="136">
        <v>57.66</v>
      </c>
      <c r="D33" s="136">
        <v>57.27</v>
      </c>
      <c r="F33" s="134">
        <v>71</v>
      </c>
      <c r="G33" s="135">
        <v>57.67</v>
      </c>
      <c r="H33" s="135">
        <v>57.28</v>
      </c>
      <c r="I33" s="139"/>
      <c r="J33" s="141">
        <f t="shared" si="0"/>
        <v>-1.0000000000005116E-2</v>
      </c>
      <c r="K33" s="141">
        <f t="shared" si="1"/>
        <v>-9.9999999999980105E-3</v>
      </c>
      <c r="M33" s="3"/>
      <c r="Q33" s="3"/>
    </row>
    <row r="34" spans="2:17" x14ac:dyDescent="0.3">
      <c r="B34" s="136">
        <v>70</v>
      </c>
      <c r="C34" s="136">
        <v>57.38</v>
      </c>
      <c r="D34" s="136">
        <v>56.9</v>
      </c>
      <c r="F34" s="134">
        <v>70</v>
      </c>
      <c r="G34" s="135">
        <v>57.38</v>
      </c>
      <c r="H34" s="135">
        <v>56.91</v>
      </c>
      <c r="I34" s="139"/>
      <c r="J34" s="141">
        <f t="shared" si="0"/>
        <v>0</v>
      </c>
      <c r="K34" s="141">
        <f t="shared" si="1"/>
        <v>-9.9999999999980105E-3</v>
      </c>
      <c r="M34" s="3"/>
      <c r="Q34" s="3"/>
    </row>
    <row r="35" spans="2:17" x14ac:dyDescent="0.3">
      <c r="B35" s="136">
        <v>69</v>
      </c>
      <c r="C35" s="136">
        <v>57.07</v>
      </c>
      <c r="D35" s="136">
        <v>56.56</v>
      </c>
      <c r="F35" s="134">
        <v>69</v>
      </c>
      <c r="G35" s="135">
        <v>57.08</v>
      </c>
      <c r="H35" s="135">
        <v>56.57</v>
      </c>
      <c r="I35" s="139"/>
      <c r="J35" s="141">
        <f t="shared" si="0"/>
        <v>-9.9999999999980105E-3</v>
      </c>
      <c r="K35" s="141">
        <f t="shared" si="1"/>
        <v>-9.9999999999980105E-3</v>
      </c>
      <c r="M35" s="3"/>
      <c r="Q35" s="3"/>
    </row>
    <row r="36" spans="2:17" x14ac:dyDescent="0.3">
      <c r="B36" s="136">
        <v>68</v>
      </c>
      <c r="C36" s="136">
        <v>56.73</v>
      </c>
      <c r="D36" s="136">
        <v>56.26</v>
      </c>
      <c r="F36" s="134">
        <v>68</v>
      </c>
      <c r="G36" s="135">
        <v>56.73</v>
      </c>
      <c r="H36" s="135">
        <v>56.27</v>
      </c>
      <c r="I36" s="139"/>
      <c r="J36" s="141">
        <f t="shared" si="0"/>
        <v>0</v>
      </c>
      <c r="K36" s="141">
        <f t="shared" si="1"/>
        <v>-1.0000000000005116E-2</v>
      </c>
      <c r="M36" s="3"/>
      <c r="Q36" s="3"/>
    </row>
    <row r="37" spans="2:17" x14ac:dyDescent="0.3">
      <c r="B37" s="136">
        <v>67</v>
      </c>
      <c r="C37" s="136">
        <v>56.36</v>
      </c>
      <c r="D37" s="136">
        <v>55.98</v>
      </c>
      <c r="F37" s="134">
        <v>67</v>
      </c>
      <c r="G37" s="135">
        <v>56.37</v>
      </c>
      <c r="H37" s="135">
        <v>55.99</v>
      </c>
      <c r="I37" s="139"/>
      <c r="J37" s="141">
        <f t="shared" si="0"/>
        <v>-9.9999999999980105E-3</v>
      </c>
      <c r="K37" s="141">
        <f t="shared" si="1"/>
        <v>-1.0000000000005116E-2</v>
      </c>
      <c r="M37" s="3"/>
      <c r="Q37" s="3"/>
    </row>
    <row r="38" spans="2:17" x14ac:dyDescent="0.3">
      <c r="B38" s="136">
        <v>66</v>
      </c>
      <c r="C38" s="136">
        <v>56.03</v>
      </c>
      <c r="D38" s="136">
        <v>55.71</v>
      </c>
      <c r="F38" s="134">
        <v>66</v>
      </c>
      <c r="G38" s="135">
        <v>56.04</v>
      </c>
      <c r="H38" s="135">
        <v>55.71</v>
      </c>
      <c r="I38" s="139"/>
      <c r="J38" s="141">
        <f t="shared" si="0"/>
        <v>-9.9999999999980105E-3</v>
      </c>
      <c r="K38" s="141">
        <f t="shared" si="1"/>
        <v>0</v>
      </c>
      <c r="M38" s="3"/>
      <c r="Q38" s="3"/>
    </row>
    <row r="39" spans="2:17" x14ac:dyDescent="0.3">
      <c r="B39" s="136">
        <v>65</v>
      </c>
      <c r="C39" s="136">
        <v>55.71</v>
      </c>
      <c r="D39" s="136">
        <v>55.44</v>
      </c>
      <c r="F39" s="134">
        <v>65</v>
      </c>
      <c r="G39" s="135">
        <v>55.71</v>
      </c>
      <c r="H39" s="135">
        <v>55.44</v>
      </c>
      <c r="I39" s="139"/>
      <c r="J39" s="141">
        <f t="shared" si="0"/>
        <v>0</v>
      </c>
      <c r="K39" s="141">
        <f t="shared" si="1"/>
        <v>0</v>
      </c>
      <c r="M39" s="3"/>
      <c r="Q39" s="3"/>
    </row>
    <row r="40" spans="2:17" x14ac:dyDescent="0.3">
      <c r="B40" s="136">
        <v>64</v>
      </c>
      <c r="C40" s="136">
        <v>55.4</v>
      </c>
      <c r="D40" s="136">
        <v>55.14</v>
      </c>
      <c r="F40" s="134">
        <v>64</v>
      </c>
      <c r="G40" s="135">
        <v>55.4</v>
      </c>
      <c r="H40" s="135">
        <v>55.15</v>
      </c>
      <c r="I40" s="139"/>
      <c r="J40" s="141">
        <f t="shared" si="0"/>
        <v>0</v>
      </c>
      <c r="K40" s="141">
        <f t="shared" si="1"/>
        <v>-9.9999999999980105E-3</v>
      </c>
      <c r="M40" s="3"/>
      <c r="Q40" s="3"/>
    </row>
    <row r="41" spans="2:17" x14ac:dyDescent="0.3">
      <c r="B41" s="136">
        <v>63</v>
      </c>
      <c r="C41" s="136">
        <v>55.08</v>
      </c>
      <c r="D41" s="136">
        <v>54.85</v>
      </c>
      <c r="F41" s="134">
        <v>63</v>
      </c>
      <c r="G41" s="135">
        <v>55.09</v>
      </c>
      <c r="H41" s="135">
        <v>54.85</v>
      </c>
      <c r="I41" s="139"/>
      <c r="J41" s="141">
        <f t="shared" si="0"/>
        <v>-1.0000000000005116E-2</v>
      </c>
      <c r="K41" s="141">
        <f t="shared" si="1"/>
        <v>0</v>
      </c>
      <c r="M41" s="3"/>
      <c r="Q41" s="3"/>
    </row>
    <row r="42" spans="2:17" x14ac:dyDescent="0.3">
      <c r="B42" s="136">
        <v>62</v>
      </c>
      <c r="C42" s="136">
        <v>54.79</v>
      </c>
      <c r="D42" s="136">
        <v>54.58</v>
      </c>
      <c r="F42" s="134">
        <v>62</v>
      </c>
      <c r="G42" s="135">
        <v>54.79</v>
      </c>
      <c r="H42" s="135">
        <v>54.59</v>
      </c>
      <c r="I42" s="139"/>
      <c r="J42" s="141">
        <f t="shared" si="0"/>
        <v>0</v>
      </c>
      <c r="K42" s="141">
        <f t="shared" si="1"/>
        <v>-1.0000000000005116E-2</v>
      </c>
      <c r="M42" s="3"/>
      <c r="Q42" s="3"/>
    </row>
    <row r="43" spans="2:17" x14ac:dyDescent="0.3">
      <c r="B43" s="136">
        <v>61</v>
      </c>
      <c r="C43" s="136">
        <v>54.51</v>
      </c>
      <c r="D43" s="136">
        <v>54.25</v>
      </c>
      <c r="F43" s="134">
        <v>61</v>
      </c>
      <c r="G43" s="135">
        <v>54.51</v>
      </c>
      <c r="H43" s="135">
        <v>54.26</v>
      </c>
      <c r="I43" s="139"/>
      <c r="J43" s="141">
        <f t="shared" si="0"/>
        <v>0</v>
      </c>
      <c r="K43" s="141">
        <f t="shared" si="1"/>
        <v>-9.9999999999980105E-3</v>
      </c>
      <c r="M43" s="3"/>
      <c r="Q43" s="3"/>
    </row>
    <row r="44" spans="2:17" x14ac:dyDescent="0.3">
      <c r="B44" s="136">
        <v>60</v>
      </c>
      <c r="C44" s="136">
        <v>54.2</v>
      </c>
      <c r="D44" s="136">
        <v>53.92</v>
      </c>
      <c r="F44" s="134">
        <v>60</v>
      </c>
      <c r="G44" s="135">
        <v>54.21</v>
      </c>
      <c r="H44" s="135">
        <v>53.92</v>
      </c>
      <c r="I44" s="139"/>
      <c r="J44" s="141">
        <f t="shared" si="0"/>
        <v>-9.9999999999980105E-3</v>
      </c>
      <c r="K44" s="141">
        <f t="shared" si="1"/>
        <v>0</v>
      </c>
      <c r="M44" s="3"/>
      <c r="Q44" s="3"/>
    </row>
    <row r="45" spans="2:17" x14ac:dyDescent="0.3">
      <c r="B45" s="136">
        <v>59</v>
      </c>
      <c r="C45" s="136">
        <v>53.86</v>
      </c>
      <c r="D45" s="136">
        <v>53.54</v>
      </c>
      <c r="F45" s="134">
        <v>59</v>
      </c>
      <c r="G45" s="135">
        <v>53.86</v>
      </c>
      <c r="H45" s="135">
        <v>53.54</v>
      </c>
      <c r="I45" s="139"/>
      <c r="J45" s="141">
        <f t="shared" si="0"/>
        <v>0</v>
      </c>
      <c r="K45" s="141">
        <f t="shared" si="1"/>
        <v>0</v>
      </c>
      <c r="M45" s="3"/>
      <c r="Q45" s="3"/>
    </row>
    <row r="46" spans="2:17" x14ac:dyDescent="0.3">
      <c r="B46" s="136">
        <v>58</v>
      </c>
      <c r="C46" s="136">
        <v>53.53</v>
      </c>
      <c r="D46" s="136">
        <v>53.2</v>
      </c>
      <c r="F46" s="134">
        <v>58</v>
      </c>
      <c r="G46" s="135">
        <v>53.54</v>
      </c>
      <c r="H46" s="135">
        <v>53.21</v>
      </c>
      <c r="I46" s="139"/>
      <c r="J46" s="141">
        <f t="shared" si="0"/>
        <v>-9.9999999999980105E-3</v>
      </c>
      <c r="K46" s="141">
        <f t="shared" si="1"/>
        <v>-9.9999999999980105E-3</v>
      </c>
      <c r="M46" s="3"/>
      <c r="Q46" s="3"/>
    </row>
    <row r="47" spans="2:17" x14ac:dyDescent="0.3">
      <c r="B47" s="136">
        <v>57</v>
      </c>
      <c r="C47" s="136">
        <v>53.19</v>
      </c>
      <c r="D47" s="136">
        <v>52.87</v>
      </c>
      <c r="F47" s="134">
        <v>57</v>
      </c>
      <c r="G47" s="135">
        <v>53.2</v>
      </c>
      <c r="H47" s="135">
        <v>52.88</v>
      </c>
      <c r="I47" s="139"/>
      <c r="J47" s="141">
        <f t="shared" si="0"/>
        <v>-1.0000000000005116E-2</v>
      </c>
      <c r="K47" s="141">
        <f t="shared" si="1"/>
        <v>-1.0000000000005116E-2</v>
      </c>
      <c r="M47" s="3"/>
      <c r="Q47" s="3"/>
    </row>
    <row r="48" spans="2:17" x14ac:dyDescent="0.3">
      <c r="B48" s="136">
        <v>56</v>
      </c>
      <c r="C48" s="136">
        <v>52.84</v>
      </c>
      <c r="D48" s="136">
        <v>52.54</v>
      </c>
      <c r="F48" s="134">
        <v>56</v>
      </c>
      <c r="G48" s="135">
        <v>52.85</v>
      </c>
      <c r="H48" s="135">
        <v>52.54</v>
      </c>
      <c r="I48" s="139"/>
      <c r="J48" s="141">
        <f t="shared" si="0"/>
        <v>-9.9999999999980105E-3</v>
      </c>
      <c r="K48" s="141">
        <f t="shared" si="1"/>
        <v>0</v>
      </c>
      <c r="M48" s="3"/>
      <c r="Q48" s="3"/>
    </row>
    <row r="49" spans="2:17" x14ac:dyDescent="0.3">
      <c r="B49" s="136">
        <v>55</v>
      </c>
      <c r="C49" s="136">
        <v>52.5</v>
      </c>
      <c r="D49" s="136">
        <v>52.2</v>
      </c>
      <c r="F49" s="134">
        <v>55</v>
      </c>
      <c r="G49" s="135">
        <v>52.51</v>
      </c>
      <c r="H49" s="135">
        <v>52.21</v>
      </c>
      <c r="I49" s="139"/>
      <c r="J49" s="141">
        <f t="shared" si="0"/>
        <v>-9.9999999999980105E-3</v>
      </c>
      <c r="K49" s="141">
        <f t="shared" si="1"/>
        <v>-9.9999999999980105E-3</v>
      </c>
      <c r="M49" s="3"/>
      <c r="Q49" s="3"/>
    </row>
    <row r="50" spans="2:17" x14ac:dyDescent="0.3">
      <c r="B50" s="136">
        <v>54</v>
      </c>
      <c r="C50" s="136">
        <v>52.11</v>
      </c>
      <c r="D50" s="136">
        <v>51.84</v>
      </c>
      <c r="F50" s="134">
        <v>54</v>
      </c>
      <c r="G50" s="135">
        <v>52.12</v>
      </c>
      <c r="H50" s="135">
        <v>51.84</v>
      </c>
      <c r="I50" s="139"/>
      <c r="J50" s="141">
        <f t="shared" si="0"/>
        <v>-9.9999999999980105E-3</v>
      </c>
      <c r="K50" s="141">
        <f t="shared" si="1"/>
        <v>0</v>
      </c>
      <c r="M50" s="3"/>
      <c r="Q50" s="3"/>
    </row>
    <row r="51" spans="2:17" x14ac:dyDescent="0.3">
      <c r="B51" s="136">
        <v>53</v>
      </c>
      <c r="C51" s="136">
        <v>51.73</v>
      </c>
      <c r="D51" s="136">
        <v>51.45</v>
      </c>
      <c r="F51" s="134">
        <v>53</v>
      </c>
      <c r="G51" s="135">
        <v>51.73</v>
      </c>
      <c r="H51" s="135">
        <v>51.46</v>
      </c>
      <c r="I51" s="139"/>
      <c r="J51" s="141">
        <f t="shared" si="0"/>
        <v>0</v>
      </c>
      <c r="K51" s="141">
        <f t="shared" si="1"/>
        <v>-9.9999999999980105E-3</v>
      </c>
      <c r="M51" s="3"/>
      <c r="Q51" s="3"/>
    </row>
    <row r="52" spans="2:17" x14ac:dyDescent="0.3">
      <c r="B52" s="136">
        <v>52</v>
      </c>
      <c r="C52" s="136">
        <v>51.35</v>
      </c>
      <c r="D52" s="136">
        <v>51.08</v>
      </c>
      <c r="F52" s="134">
        <v>52</v>
      </c>
      <c r="G52" s="135">
        <v>51.35</v>
      </c>
      <c r="H52" s="135">
        <v>51.08</v>
      </c>
      <c r="I52" s="139"/>
      <c r="J52" s="141">
        <f t="shared" si="0"/>
        <v>0</v>
      </c>
      <c r="K52" s="141">
        <f t="shared" si="1"/>
        <v>0</v>
      </c>
      <c r="M52" s="3"/>
      <c r="Q52" s="3"/>
    </row>
    <row r="53" spans="2:17" x14ac:dyDescent="0.3">
      <c r="B53" s="136">
        <v>51</v>
      </c>
      <c r="C53" s="136">
        <v>50.93</v>
      </c>
      <c r="D53" s="136">
        <v>50.72</v>
      </c>
      <c r="F53" s="134">
        <v>51</v>
      </c>
      <c r="G53" s="135">
        <v>50.93</v>
      </c>
      <c r="H53" s="135">
        <v>50.73</v>
      </c>
      <c r="I53" s="139"/>
      <c r="J53" s="141">
        <f t="shared" si="0"/>
        <v>0</v>
      </c>
      <c r="K53" s="141">
        <f t="shared" si="1"/>
        <v>-9.9999999999980105E-3</v>
      </c>
      <c r="M53" s="3"/>
      <c r="Q53" s="3"/>
    </row>
    <row r="54" spans="2:17" x14ac:dyDescent="0.3">
      <c r="B54" s="136">
        <v>50</v>
      </c>
      <c r="C54" s="136">
        <v>50.54</v>
      </c>
      <c r="D54" s="136">
        <v>50.34</v>
      </c>
      <c r="F54" s="134">
        <v>50</v>
      </c>
      <c r="G54" s="135">
        <v>50.54</v>
      </c>
      <c r="H54" s="135">
        <v>50.34</v>
      </c>
      <c r="I54" s="139"/>
      <c r="J54" s="141">
        <f t="shared" si="0"/>
        <v>0</v>
      </c>
      <c r="K54" s="141">
        <f t="shared" si="1"/>
        <v>0</v>
      </c>
      <c r="M54" s="3"/>
      <c r="Q54" s="3"/>
    </row>
    <row r="55" spans="2:17" x14ac:dyDescent="0.3">
      <c r="B55" s="136">
        <v>49</v>
      </c>
      <c r="C55" s="136">
        <v>50.16</v>
      </c>
      <c r="D55" s="136">
        <v>49.95</v>
      </c>
      <c r="F55" s="134">
        <v>49</v>
      </c>
      <c r="G55" s="135">
        <v>50.17</v>
      </c>
      <c r="H55" s="135">
        <v>49.96</v>
      </c>
      <c r="I55" s="139"/>
      <c r="J55" s="141">
        <f t="shared" si="0"/>
        <v>-1.0000000000005116E-2</v>
      </c>
      <c r="K55" s="141">
        <f t="shared" si="1"/>
        <v>-9.9999999999980105E-3</v>
      </c>
      <c r="M55" s="3"/>
      <c r="Q55" s="3"/>
    </row>
    <row r="56" spans="2:17" x14ac:dyDescent="0.3">
      <c r="B56" s="136">
        <v>48</v>
      </c>
      <c r="C56" s="136">
        <v>49.81</v>
      </c>
      <c r="D56" s="136">
        <v>49.59</v>
      </c>
      <c r="F56" s="134">
        <v>48</v>
      </c>
      <c r="G56" s="135">
        <v>49.82</v>
      </c>
      <c r="H56" s="135">
        <v>49.59</v>
      </c>
      <c r="I56" s="139"/>
      <c r="J56" s="141">
        <f t="shared" si="0"/>
        <v>-9.9999999999980105E-3</v>
      </c>
      <c r="K56" s="141">
        <f t="shared" si="1"/>
        <v>0</v>
      </c>
      <c r="M56" s="3"/>
      <c r="Q56" s="3"/>
    </row>
    <row r="57" spans="2:17" x14ac:dyDescent="0.3">
      <c r="B57" s="136">
        <v>47</v>
      </c>
      <c r="C57" s="136">
        <v>49.41</v>
      </c>
      <c r="D57" s="136">
        <v>49.22</v>
      </c>
      <c r="F57" s="134">
        <v>47</v>
      </c>
      <c r="G57" s="135">
        <v>49.42</v>
      </c>
      <c r="H57" s="135">
        <v>49.23</v>
      </c>
      <c r="I57" s="139"/>
      <c r="J57" s="141">
        <f t="shared" si="0"/>
        <v>-1.0000000000005116E-2</v>
      </c>
      <c r="K57" s="141">
        <f t="shared" si="1"/>
        <v>-9.9999999999980105E-3</v>
      </c>
      <c r="M57" s="3"/>
      <c r="Q57" s="3"/>
    </row>
    <row r="58" spans="2:17" x14ac:dyDescent="0.3">
      <c r="B58" s="136">
        <v>46</v>
      </c>
      <c r="C58" s="136">
        <v>48.99</v>
      </c>
      <c r="D58" s="136">
        <v>48.82</v>
      </c>
      <c r="F58" s="134">
        <v>46</v>
      </c>
      <c r="G58" s="135">
        <v>48.99</v>
      </c>
      <c r="H58" s="135">
        <v>48.82</v>
      </c>
      <c r="I58" s="139"/>
      <c r="J58" s="141">
        <f t="shared" si="0"/>
        <v>0</v>
      </c>
      <c r="K58" s="141">
        <f t="shared" si="1"/>
        <v>0</v>
      </c>
      <c r="M58" s="3"/>
      <c r="Q58" s="3"/>
    </row>
    <row r="59" spans="2:17" x14ac:dyDescent="0.3">
      <c r="B59" s="136">
        <v>45</v>
      </c>
      <c r="C59" s="136">
        <v>48.62</v>
      </c>
      <c r="D59" s="136">
        <v>48.43</v>
      </c>
      <c r="F59" s="134">
        <v>45</v>
      </c>
      <c r="G59" s="135">
        <v>48.63</v>
      </c>
      <c r="H59" s="135">
        <v>48.44</v>
      </c>
      <c r="I59" s="139"/>
      <c r="J59" s="141">
        <f t="shared" si="0"/>
        <v>-1.0000000000005116E-2</v>
      </c>
      <c r="K59" s="141">
        <f t="shared" si="1"/>
        <v>-9.9999999999980105E-3</v>
      </c>
      <c r="M59" s="3"/>
      <c r="Q59" s="3"/>
    </row>
    <row r="60" spans="2:17" x14ac:dyDescent="0.3">
      <c r="B60" s="136">
        <v>44</v>
      </c>
      <c r="C60" s="136">
        <v>48.27</v>
      </c>
      <c r="D60" s="136">
        <v>48.04</v>
      </c>
      <c r="F60" s="134">
        <v>44</v>
      </c>
      <c r="G60" s="135">
        <v>48.28</v>
      </c>
      <c r="H60" s="135">
        <v>48.04</v>
      </c>
      <c r="I60" s="139"/>
      <c r="J60" s="141">
        <f t="shared" si="0"/>
        <v>-9.9999999999980105E-3</v>
      </c>
      <c r="K60" s="141">
        <f t="shared" si="1"/>
        <v>0</v>
      </c>
      <c r="M60" s="3"/>
      <c r="Q60" s="3"/>
    </row>
    <row r="61" spans="2:17" x14ac:dyDescent="0.3">
      <c r="B61" s="136">
        <v>43</v>
      </c>
      <c r="C61" s="136">
        <v>47.87</v>
      </c>
      <c r="D61" s="136">
        <v>47.67</v>
      </c>
      <c r="F61" s="134">
        <v>43</v>
      </c>
      <c r="G61" s="135">
        <v>47.88</v>
      </c>
      <c r="H61" s="135">
        <v>47.68</v>
      </c>
      <c r="I61" s="139"/>
      <c r="J61" s="141">
        <f t="shared" si="0"/>
        <v>-1.0000000000005116E-2</v>
      </c>
      <c r="K61" s="141">
        <f t="shared" si="1"/>
        <v>-9.9999999999980105E-3</v>
      </c>
      <c r="M61" s="3"/>
      <c r="Q61" s="3"/>
    </row>
    <row r="62" spans="2:17" x14ac:dyDescent="0.3">
      <c r="B62" s="136">
        <v>42</v>
      </c>
      <c r="C62" s="136">
        <v>47.47</v>
      </c>
      <c r="D62" s="136">
        <v>47.29</v>
      </c>
      <c r="F62" s="134">
        <v>42</v>
      </c>
      <c r="G62" s="135">
        <v>47.48</v>
      </c>
      <c r="H62" s="135">
        <v>47.29</v>
      </c>
      <c r="I62" s="139"/>
      <c r="J62" s="141">
        <f t="shared" si="0"/>
        <v>-9.9999999999980105E-3</v>
      </c>
      <c r="K62" s="141">
        <f t="shared" si="1"/>
        <v>0</v>
      </c>
      <c r="M62" s="3"/>
      <c r="Q62" s="3"/>
    </row>
    <row r="63" spans="2:17" x14ac:dyDescent="0.3">
      <c r="B63" s="136">
        <v>41</v>
      </c>
      <c r="C63" s="136">
        <v>47.12</v>
      </c>
      <c r="D63" s="136">
        <v>46.9</v>
      </c>
      <c r="F63" s="134">
        <v>41</v>
      </c>
      <c r="G63" s="135">
        <v>47.13</v>
      </c>
      <c r="H63" s="135">
        <v>46.91</v>
      </c>
      <c r="I63" s="139"/>
      <c r="J63" s="141">
        <f t="shared" si="0"/>
        <v>-1.0000000000005116E-2</v>
      </c>
      <c r="K63" s="141">
        <f t="shared" si="1"/>
        <v>-9.9999999999980105E-3</v>
      </c>
      <c r="M63" s="3"/>
      <c r="Q63" s="3"/>
    </row>
    <row r="64" spans="2:17" x14ac:dyDescent="0.3">
      <c r="B64" s="136">
        <v>40</v>
      </c>
      <c r="C64" s="136">
        <v>46.78</v>
      </c>
      <c r="D64" s="136">
        <v>46.54</v>
      </c>
      <c r="F64" s="134">
        <v>40</v>
      </c>
      <c r="G64" s="135">
        <v>46.78</v>
      </c>
      <c r="H64" s="135">
        <v>46.54</v>
      </c>
      <c r="I64" s="139"/>
      <c r="J64" s="141">
        <f t="shared" si="0"/>
        <v>0</v>
      </c>
      <c r="K64" s="141">
        <f t="shared" si="1"/>
        <v>0</v>
      </c>
      <c r="M64" s="3"/>
      <c r="Q64" s="3"/>
    </row>
    <row r="65" spans="2:17" x14ac:dyDescent="0.3">
      <c r="B65" s="136">
        <v>39</v>
      </c>
      <c r="C65" s="136">
        <v>46.45</v>
      </c>
      <c r="D65" s="136">
        <v>46.19</v>
      </c>
      <c r="F65" s="134">
        <v>39</v>
      </c>
      <c r="G65" s="135">
        <v>46.46</v>
      </c>
      <c r="H65" s="135">
        <v>46.2</v>
      </c>
      <c r="I65" s="139"/>
      <c r="J65" s="141">
        <f t="shared" si="0"/>
        <v>-9.9999999999980105E-3</v>
      </c>
      <c r="K65" s="141">
        <f t="shared" si="1"/>
        <v>-1.0000000000005116E-2</v>
      </c>
      <c r="M65" s="3"/>
      <c r="Q65" s="3"/>
    </row>
    <row r="66" spans="2:17" x14ac:dyDescent="0.3">
      <c r="B66" s="136">
        <v>38</v>
      </c>
      <c r="C66" s="136">
        <v>46.08</v>
      </c>
      <c r="D66" s="136">
        <v>45.83</v>
      </c>
      <c r="F66" s="134">
        <v>38</v>
      </c>
      <c r="G66" s="135">
        <v>46.08</v>
      </c>
      <c r="H66" s="135">
        <v>45.83</v>
      </c>
      <c r="I66" s="139"/>
      <c r="J66" s="141">
        <f t="shared" si="0"/>
        <v>0</v>
      </c>
      <c r="K66" s="141">
        <f t="shared" si="1"/>
        <v>0</v>
      </c>
      <c r="M66" s="3"/>
      <c r="Q66" s="3"/>
    </row>
    <row r="67" spans="2:17" x14ac:dyDescent="0.3">
      <c r="B67" s="136">
        <v>37</v>
      </c>
      <c r="C67" s="136">
        <v>45.69</v>
      </c>
      <c r="D67" s="136">
        <v>45.47</v>
      </c>
      <c r="F67" s="134">
        <v>37</v>
      </c>
      <c r="G67" s="135">
        <v>45.69</v>
      </c>
      <c r="H67" s="135">
        <v>45.48</v>
      </c>
      <c r="I67" s="139"/>
      <c r="J67" s="141">
        <f t="shared" si="0"/>
        <v>0</v>
      </c>
      <c r="K67" s="141">
        <f t="shared" si="1"/>
        <v>-9.9999999999980105E-3</v>
      </c>
      <c r="M67" s="3"/>
      <c r="Q67" s="3"/>
    </row>
    <row r="68" spans="2:17" x14ac:dyDescent="0.3">
      <c r="B68" s="136">
        <v>36</v>
      </c>
      <c r="C68" s="136">
        <v>45.31</v>
      </c>
      <c r="D68" s="136">
        <v>45.04</v>
      </c>
      <c r="F68" s="134">
        <v>36</v>
      </c>
      <c r="G68" s="135">
        <v>45.32</v>
      </c>
      <c r="H68" s="135">
        <v>45.04</v>
      </c>
      <c r="I68" s="139"/>
      <c r="J68" s="141">
        <f t="shared" si="0"/>
        <v>-9.9999999999980105E-3</v>
      </c>
      <c r="K68" s="141">
        <f t="shared" si="1"/>
        <v>0</v>
      </c>
      <c r="M68" s="3"/>
      <c r="Q68" s="3"/>
    </row>
    <row r="69" spans="2:17" x14ac:dyDescent="0.3">
      <c r="B69" s="136">
        <v>35</v>
      </c>
      <c r="C69" s="136">
        <v>44.95</v>
      </c>
      <c r="D69" s="136">
        <v>44.7</v>
      </c>
      <c r="F69" s="134">
        <v>35</v>
      </c>
      <c r="G69" s="135">
        <v>44.96</v>
      </c>
      <c r="H69" s="135">
        <v>44.71</v>
      </c>
      <c r="I69" s="139"/>
      <c r="J69" s="141">
        <f t="shared" ref="J69:J103" si="2">C69-G69</f>
        <v>-9.9999999999980105E-3</v>
      </c>
      <c r="K69" s="141">
        <f t="shared" ref="K69:K103" si="3">D69-H69</f>
        <v>-9.9999999999980105E-3</v>
      </c>
      <c r="M69" s="3"/>
      <c r="Q69" s="3"/>
    </row>
    <row r="70" spans="2:17" x14ac:dyDescent="0.3">
      <c r="B70" s="136">
        <v>34</v>
      </c>
      <c r="C70" s="136">
        <v>44.6</v>
      </c>
      <c r="D70" s="136">
        <v>44.38</v>
      </c>
      <c r="F70" s="134">
        <v>34</v>
      </c>
      <c r="G70" s="135">
        <v>44.6</v>
      </c>
      <c r="H70" s="135">
        <v>44.39</v>
      </c>
      <c r="I70" s="139"/>
      <c r="J70" s="141">
        <f t="shared" si="2"/>
        <v>0</v>
      </c>
      <c r="K70" s="141">
        <f t="shared" si="3"/>
        <v>-9.9999999999980105E-3</v>
      </c>
      <c r="M70" s="3"/>
      <c r="Q70" s="3"/>
    </row>
    <row r="71" spans="2:17" x14ac:dyDescent="0.3">
      <c r="B71" s="136">
        <v>33</v>
      </c>
      <c r="C71" s="136">
        <v>44.23</v>
      </c>
      <c r="D71" s="136">
        <v>44.07</v>
      </c>
      <c r="F71" s="134">
        <v>33</v>
      </c>
      <c r="G71" s="135">
        <v>44.23</v>
      </c>
      <c r="H71" s="135">
        <v>44.07</v>
      </c>
      <c r="I71" s="139"/>
      <c r="J71" s="141">
        <f t="shared" si="2"/>
        <v>0</v>
      </c>
      <c r="K71" s="141">
        <f t="shared" si="3"/>
        <v>0</v>
      </c>
      <c r="M71" s="3"/>
      <c r="Q71" s="3"/>
    </row>
    <row r="72" spans="2:17" x14ac:dyDescent="0.3">
      <c r="B72" s="136">
        <v>32</v>
      </c>
      <c r="C72" s="136">
        <v>43.9</v>
      </c>
      <c r="D72" s="136">
        <v>43.78</v>
      </c>
      <c r="F72" s="134">
        <v>32</v>
      </c>
      <c r="G72" s="135">
        <v>43.9</v>
      </c>
      <c r="H72" s="135">
        <v>43.78</v>
      </c>
      <c r="I72" s="139"/>
      <c r="J72" s="141">
        <f t="shared" si="2"/>
        <v>0</v>
      </c>
      <c r="K72" s="141">
        <f t="shared" si="3"/>
        <v>0</v>
      </c>
      <c r="M72" s="3"/>
      <c r="Q72" s="3"/>
    </row>
    <row r="73" spans="2:17" x14ac:dyDescent="0.3">
      <c r="B73" s="136">
        <v>31</v>
      </c>
      <c r="C73" s="136">
        <v>43.56</v>
      </c>
      <c r="D73" s="136">
        <v>43.48</v>
      </c>
      <c r="F73" s="134">
        <v>31</v>
      </c>
      <c r="G73" s="135">
        <v>43.57</v>
      </c>
      <c r="H73" s="135">
        <v>43.49</v>
      </c>
      <c r="I73" s="139"/>
      <c r="J73" s="141">
        <f t="shared" si="2"/>
        <v>-9.9999999999980105E-3</v>
      </c>
      <c r="K73" s="141">
        <f t="shared" si="3"/>
        <v>-1.0000000000005116E-2</v>
      </c>
      <c r="M73" s="3"/>
      <c r="Q73" s="3"/>
    </row>
    <row r="74" spans="2:17" x14ac:dyDescent="0.3">
      <c r="B74" s="136">
        <v>30</v>
      </c>
      <c r="C74" s="136">
        <v>43.25</v>
      </c>
      <c r="D74" s="136">
        <v>43.16</v>
      </c>
      <c r="F74" s="134">
        <v>30</v>
      </c>
      <c r="G74" s="135">
        <v>43.26</v>
      </c>
      <c r="H74" s="135">
        <v>43.17</v>
      </c>
      <c r="I74" s="139"/>
      <c r="J74" s="141">
        <f t="shared" si="2"/>
        <v>-9.9999999999980105E-3</v>
      </c>
      <c r="K74" s="141">
        <f t="shared" si="3"/>
        <v>-1.0000000000005116E-2</v>
      </c>
      <c r="M74" s="3"/>
      <c r="Q74" s="3"/>
    </row>
    <row r="75" spans="2:17" x14ac:dyDescent="0.3">
      <c r="B75" s="136">
        <v>29</v>
      </c>
      <c r="C75" s="136">
        <v>42.96</v>
      </c>
      <c r="D75" s="136">
        <v>42.81</v>
      </c>
      <c r="F75" s="134">
        <v>29</v>
      </c>
      <c r="G75" s="135">
        <v>42.97</v>
      </c>
      <c r="H75" s="135">
        <v>42.81</v>
      </c>
      <c r="I75" s="139"/>
      <c r="J75" s="141">
        <f t="shared" si="2"/>
        <v>-9.9999999999980105E-3</v>
      </c>
      <c r="K75" s="141">
        <f t="shared" si="3"/>
        <v>0</v>
      </c>
      <c r="M75" s="3"/>
      <c r="Q75" s="3"/>
    </row>
    <row r="76" spans="2:17" x14ac:dyDescent="0.3">
      <c r="B76" s="136">
        <v>28</v>
      </c>
      <c r="C76" s="136">
        <v>42.63</v>
      </c>
      <c r="D76" s="136">
        <v>42.46</v>
      </c>
      <c r="F76" s="134">
        <v>28</v>
      </c>
      <c r="G76" s="135">
        <v>42.63</v>
      </c>
      <c r="H76" s="135">
        <v>42.47</v>
      </c>
      <c r="I76" s="139"/>
      <c r="J76" s="141">
        <f t="shared" si="2"/>
        <v>0</v>
      </c>
      <c r="K76" s="141">
        <f t="shared" si="3"/>
        <v>-9.9999999999980105E-3</v>
      </c>
      <c r="M76" s="3"/>
      <c r="Q76" s="3"/>
    </row>
    <row r="77" spans="2:17" x14ac:dyDescent="0.3">
      <c r="B77" s="136">
        <v>27</v>
      </c>
      <c r="C77" s="136">
        <v>42.27</v>
      </c>
      <c r="D77" s="136">
        <v>42.11</v>
      </c>
      <c r="F77" s="134">
        <v>27</v>
      </c>
      <c r="G77" s="135">
        <v>42.28</v>
      </c>
      <c r="H77" s="135">
        <v>42.11</v>
      </c>
      <c r="I77" s="139"/>
      <c r="J77" s="141">
        <f t="shared" si="2"/>
        <v>-9.9999999999980105E-3</v>
      </c>
      <c r="K77" s="141">
        <f t="shared" si="3"/>
        <v>0</v>
      </c>
      <c r="M77" s="3"/>
      <c r="Q77" s="3"/>
    </row>
    <row r="78" spans="2:17" x14ac:dyDescent="0.3">
      <c r="B78" s="136">
        <v>26</v>
      </c>
      <c r="C78" s="136">
        <v>41.93</v>
      </c>
      <c r="D78" s="136">
        <v>41.76</v>
      </c>
      <c r="F78" s="134">
        <v>26</v>
      </c>
      <c r="G78" s="135">
        <v>41.94</v>
      </c>
      <c r="H78" s="135">
        <v>41.76</v>
      </c>
      <c r="I78" s="139"/>
      <c r="J78" s="141">
        <f t="shared" si="2"/>
        <v>-9.9999999999980105E-3</v>
      </c>
      <c r="K78" s="141">
        <f t="shared" si="3"/>
        <v>0</v>
      </c>
      <c r="M78" s="3"/>
      <c r="Q78" s="3"/>
    </row>
    <row r="79" spans="2:17" x14ac:dyDescent="0.3">
      <c r="B79" s="136">
        <v>25</v>
      </c>
      <c r="C79" s="136">
        <v>41.59</v>
      </c>
      <c r="D79" s="136">
        <v>41.41</v>
      </c>
      <c r="F79" s="134">
        <v>25</v>
      </c>
      <c r="G79" s="135">
        <v>41.59</v>
      </c>
      <c r="H79" s="135">
        <v>41.42</v>
      </c>
      <c r="I79" s="139"/>
      <c r="J79" s="141">
        <f t="shared" si="2"/>
        <v>0</v>
      </c>
      <c r="K79" s="141">
        <f t="shared" si="3"/>
        <v>-1.0000000000005116E-2</v>
      </c>
      <c r="M79" s="3"/>
      <c r="Q79" s="3"/>
    </row>
    <row r="80" spans="2:17" x14ac:dyDescent="0.3">
      <c r="B80" s="136">
        <v>24</v>
      </c>
      <c r="C80" s="136">
        <v>41.24</v>
      </c>
      <c r="D80" s="136">
        <v>41.1</v>
      </c>
      <c r="F80" s="134">
        <v>24</v>
      </c>
      <c r="G80" s="135">
        <v>41.25</v>
      </c>
      <c r="H80" s="135">
        <v>41.1</v>
      </c>
      <c r="I80" s="139"/>
      <c r="J80" s="141">
        <f t="shared" si="2"/>
        <v>-9.9999999999980105E-3</v>
      </c>
      <c r="K80" s="141">
        <f t="shared" si="3"/>
        <v>0</v>
      </c>
      <c r="M80" s="3"/>
      <c r="Q80" s="3"/>
    </row>
    <row r="81" spans="2:17" x14ac:dyDescent="0.3">
      <c r="B81" s="136">
        <v>23</v>
      </c>
      <c r="C81" s="136">
        <v>40.9</v>
      </c>
      <c r="D81" s="136">
        <v>40.79</v>
      </c>
      <c r="F81" s="134">
        <v>23</v>
      </c>
      <c r="G81" s="135">
        <v>40.9</v>
      </c>
      <c r="H81" s="135">
        <v>40.79</v>
      </c>
      <c r="I81" s="139"/>
      <c r="J81" s="141">
        <f t="shared" si="2"/>
        <v>0</v>
      </c>
      <c r="K81" s="141">
        <f t="shared" si="3"/>
        <v>0</v>
      </c>
      <c r="M81" s="3"/>
      <c r="Q81" s="3"/>
    </row>
    <row r="82" spans="2:17" x14ac:dyDescent="0.3">
      <c r="B82" s="136">
        <v>22</v>
      </c>
      <c r="C82" s="136">
        <v>40.54</v>
      </c>
      <c r="D82" s="136">
        <v>40.47</v>
      </c>
      <c r="F82" s="134">
        <v>22</v>
      </c>
      <c r="G82" s="135">
        <v>40.54</v>
      </c>
      <c r="H82" s="135">
        <v>40.479999999999997</v>
      </c>
      <c r="I82" s="139"/>
      <c r="J82" s="141">
        <f t="shared" si="2"/>
        <v>0</v>
      </c>
      <c r="K82" s="141">
        <f t="shared" si="3"/>
        <v>-9.9999999999980105E-3</v>
      </c>
      <c r="M82" s="3"/>
      <c r="Q82" s="3"/>
    </row>
    <row r="83" spans="2:17" x14ac:dyDescent="0.3">
      <c r="B83" s="136">
        <v>21</v>
      </c>
      <c r="C83" s="136">
        <v>40.18</v>
      </c>
      <c r="D83" s="136">
        <v>40.14</v>
      </c>
      <c r="F83" s="134">
        <v>21</v>
      </c>
      <c r="G83" s="135">
        <v>40.18</v>
      </c>
      <c r="H83" s="135">
        <v>40.15</v>
      </c>
      <c r="I83" s="139"/>
      <c r="J83" s="141">
        <f t="shared" si="2"/>
        <v>0</v>
      </c>
      <c r="K83" s="141">
        <f t="shared" si="3"/>
        <v>-9.9999999999980105E-3</v>
      </c>
      <c r="M83" s="3"/>
      <c r="Q83" s="3"/>
    </row>
    <row r="84" spans="2:17" x14ac:dyDescent="0.3">
      <c r="B84" s="136">
        <v>20</v>
      </c>
      <c r="C84" s="136">
        <v>39.840000000000003</v>
      </c>
      <c r="D84" s="136">
        <v>39.799999999999997</v>
      </c>
      <c r="F84" s="134">
        <v>20</v>
      </c>
      <c r="G84" s="135">
        <v>39.840000000000003</v>
      </c>
      <c r="H84" s="135">
        <v>39.81</v>
      </c>
      <c r="I84" s="139"/>
      <c r="J84" s="141">
        <f t="shared" si="2"/>
        <v>0</v>
      </c>
      <c r="K84" s="141">
        <f t="shared" si="3"/>
        <v>-1.0000000000005116E-2</v>
      </c>
      <c r="M84" s="3"/>
      <c r="Q84" s="3"/>
    </row>
    <row r="85" spans="2:17" x14ac:dyDescent="0.3">
      <c r="B85" s="136">
        <v>19</v>
      </c>
      <c r="C85" s="136">
        <v>39.49</v>
      </c>
      <c r="D85" s="136">
        <v>39.450000000000003</v>
      </c>
      <c r="F85" s="134">
        <v>19</v>
      </c>
      <c r="G85" s="135">
        <v>39.49</v>
      </c>
      <c r="H85" s="135">
        <v>39.450000000000003</v>
      </c>
      <c r="I85" s="139"/>
      <c r="J85" s="141">
        <f t="shared" si="2"/>
        <v>0</v>
      </c>
      <c r="K85" s="141">
        <f t="shared" si="3"/>
        <v>0</v>
      </c>
      <c r="M85" s="3"/>
      <c r="Q85" s="3"/>
    </row>
    <row r="86" spans="2:17" x14ac:dyDescent="0.3">
      <c r="B86" s="136">
        <v>18</v>
      </c>
      <c r="C86" s="136">
        <v>39.130000000000003</v>
      </c>
      <c r="D86" s="136">
        <v>39.090000000000003</v>
      </c>
      <c r="F86" s="134">
        <v>18</v>
      </c>
      <c r="G86" s="135">
        <v>39.130000000000003</v>
      </c>
      <c r="H86" s="135">
        <v>39.090000000000003</v>
      </c>
      <c r="I86" s="139"/>
      <c r="J86" s="141">
        <f t="shared" si="2"/>
        <v>0</v>
      </c>
      <c r="K86" s="141">
        <f t="shared" si="3"/>
        <v>0</v>
      </c>
      <c r="M86" s="3"/>
      <c r="Q86" s="3"/>
    </row>
    <row r="87" spans="2:17" x14ac:dyDescent="0.3">
      <c r="B87" s="136">
        <v>17</v>
      </c>
      <c r="C87" s="136">
        <v>38.75</v>
      </c>
      <c r="D87" s="136">
        <v>38.78</v>
      </c>
      <c r="F87" s="134">
        <v>17</v>
      </c>
      <c r="G87" s="135">
        <v>38.76</v>
      </c>
      <c r="H87" s="135">
        <v>38.79</v>
      </c>
      <c r="I87" s="139"/>
      <c r="J87" s="141">
        <f t="shared" si="2"/>
        <v>-9.9999999999980105E-3</v>
      </c>
      <c r="K87" s="141">
        <f t="shared" si="3"/>
        <v>-9.9999999999980105E-3</v>
      </c>
      <c r="M87" s="3"/>
      <c r="Q87" s="3"/>
    </row>
    <row r="88" spans="2:17" x14ac:dyDescent="0.3">
      <c r="B88" s="136">
        <v>16</v>
      </c>
      <c r="C88" s="136">
        <v>38.39</v>
      </c>
      <c r="D88" s="136">
        <v>38.47</v>
      </c>
      <c r="F88" s="134">
        <v>16</v>
      </c>
      <c r="G88" s="135">
        <v>38.39</v>
      </c>
      <c r="H88" s="135">
        <v>38.479999999999997</v>
      </c>
      <c r="I88" s="139"/>
      <c r="J88" s="141">
        <f t="shared" si="2"/>
        <v>0</v>
      </c>
      <c r="K88" s="141">
        <f t="shared" si="3"/>
        <v>-9.9999999999980105E-3</v>
      </c>
      <c r="M88" s="3"/>
      <c r="Q88" s="3"/>
    </row>
    <row r="89" spans="2:17" x14ac:dyDescent="0.3">
      <c r="B89" s="136">
        <v>15</v>
      </c>
      <c r="C89" s="136">
        <v>38.04</v>
      </c>
      <c r="D89" s="136">
        <v>38.14</v>
      </c>
      <c r="F89" s="134">
        <v>15</v>
      </c>
      <c r="G89" s="135">
        <v>38.04</v>
      </c>
      <c r="H89" s="135">
        <v>38.15</v>
      </c>
      <c r="I89" s="139"/>
      <c r="J89" s="141">
        <f t="shared" si="2"/>
        <v>0</v>
      </c>
      <c r="K89" s="141">
        <f t="shared" si="3"/>
        <v>-9.9999999999980105E-3</v>
      </c>
      <c r="M89" s="3"/>
      <c r="Q89" s="3"/>
    </row>
    <row r="90" spans="2:17" x14ac:dyDescent="0.3">
      <c r="B90" s="136">
        <v>14</v>
      </c>
      <c r="C90" s="136">
        <v>37.65</v>
      </c>
      <c r="D90" s="136">
        <v>37.840000000000003</v>
      </c>
      <c r="F90" s="134">
        <v>14</v>
      </c>
      <c r="G90" s="135">
        <v>37.659999999999997</v>
      </c>
      <c r="H90" s="135">
        <v>37.840000000000003</v>
      </c>
      <c r="I90" s="139"/>
      <c r="J90" s="141">
        <f t="shared" si="2"/>
        <v>-9.9999999999980105E-3</v>
      </c>
      <c r="K90" s="141">
        <f t="shared" si="3"/>
        <v>0</v>
      </c>
      <c r="M90" s="3"/>
      <c r="Q90" s="3"/>
    </row>
    <row r="91" spans="2:17" x14ac:dyDescent="0.3">
      <c r="B91" s="136">
        <v>13</v>
      </c>
      <c r="C91" s="136">
        <v>37.28</v>
      </c>
      <c r="D91" s="136">
        <v>37.520000000000003</v>
      </c>
      <c r="F91" s="134">
        <v>13</v>
      </c>
      <c r="G91" s="135">
        <v>37.28</v>
      </c>
      <c r="H91" s="135">
        <v>37.53</v>
      </c>
      <c r="I91" s="139"/>
      <c r="J91" s="141">
        <f t="shared" si="2"/>
        <v>0</v>
      </c>
      <c r="K91" s="141">
        <f t="shared" si="3"/>
        <v>-9.9999999999980105E-3</v>
      </c>
      <c r="M91" s="3"/>
      <c r="Q91" s="3"/>
    </row>
    <row r="92" spans="2:17" x14ac:dyDescent="0.3">
      <c r="B92" s="136">
        <v>12</v>
      </c>
      <c r="C92" s="136">
        <v>36.92</v>
      </c>
      <c r="D92" s="136">
        <v>37.18</v>
      </c>
      <c r="F92" s="134">
        <v>12</v>
      </c>
      <c r="G92" s="135">
        <v>36.93</v>
      </c>
      <c r="H92" s="135">
        <v>37.19</v>
      </c>
      <c r="I92" s="139"/>
      <c r="J92" s="141">
        <f t="shared" si="2"/>
        <v>-9.9999999999980105E-3</v>
      </c>
      <c r="K92" s="141">
        <f t="shared" si="3"/>
        <v>-9.9999999999980105E-3</v>
      </c>
      <c r="M92" s="3"/>
      <c r="Q92" s="3"/>
    </row>
    <row r="93" spans="2:17" x14ac:dyDescent="0.3">
      <c r="B93" s="136">
        <v>11</v>
      </c>
      <c r="C93" s="136">
        <v>36.590000000000003</v>
      </c>
      <c r="D93" s="136">
        <v>36.799999999999997</v>
      </c>
      <c r="F93" s="134">
        <v>11</v>
      </c>
      <c r="G93" s="135">
        <v>36.590000000000003</v>
      </c>
      <c r="H93" s="135">
        <v>36.799999999999997</v>
      </c>
      <c r="I93" s="139"/>
      <c r="J93" s="141">
        <f t="shared" si="2"/>
        <v>0</v>
      </c>
      <c r="K93" s="141">
        <f t="shared" si="3"/>
        <v>0</v>
      </c>
      <c r="M93" s="3"/>
      <c r="Q93" s="3"/>
    </row>
    <row r="94" spans="2:17" x14ac:dyDescent="0.3">
      <c r="B94" s="136">
        <v>10</v>
      </c>
      <c r="C94" s="136">
        <v>36.159999999999997</v>
      </c>
      <c r="D94" s="136">
        <v>36.43</v>
      </c>
      <c r="F94" s="134">
        <v>10</v>
      </c>
      <c r="G94" s="135">
        <v>36.17</v>
      </c>
      <c r="H94" s="135">
        <v>36.44</v>
      </c>
      <c r="I94" s="139"/>
      <c r="J94" s="141">
        <f t="shared" si="2"/>
        <v>-1.0000000000005116E-2</v>
      </c>
      <c r="K94" s="141">
        <f t="shared" si="3"/>
        <v>-9.9999999999980105E-3</v>
      </c>
      <c r="M94" s="3"/>
      <c r="Q94" s="3"/>
    </row>
    <row r="95" spans="2:17" x14ac:dyDescent="0.3">
      <c r="B95" s="136">
        <v>9</v>
      </c>
      <c r="C95" s="136">
        <v>35.799999999999997</v>
      </c>
      <c r="D95" s="136">
        <v>36.090000000000003</v>
      </c>
      <c r="F95" s="134">
        <v>9</v>
      </c>
      <c r="G95" s="135">
        <v>35.799999999999997</v>
      </c>
      <c r="H95" s="135">
        <v>36.090000000000003</v>
      </c>
      <c r="I95" s="139"/>
      <c r="J95" s="141">
        <f t="shared" si="2"/>
        <v>0</v>
      </c>
      <c r="K95" s="141">
        <f t="shared" si="3"/>
        <v>0</v>
      </c>
      <c r="M95" s="3"/>
      <c r="Q95" s="3"/>
    </row>
    <row r="96" spans="2:17" x14ac:dyDescent="0.3">
      <c r="B96" s="136">
        <v>8</v>
      </c>
      <c r="C96" s="136">
        <v>35.43</v>
      </c>
      <c r="D96" s="136">
        <v>35.75</v>
      </c>
      <c r="F96" s="134">
        <v>8</v>
      </c>
      <c r="G96" s="135">
        <v>35.43</v>
      </c>
      <c r="H96" s="135">
        <v>35.75</v>
      </c>
      <c r="I96" s="139"/>
      <c r="J96" s="141">
        <f t="shared" si="2"/>
        <v>0</v>
      </c>
      <c r="K96" s="141">
        <f t="shared" si="3"/>
        <v>0</v>
      </c>
      <c r="M96" s="3"/>
      <c r="Q96" s="3"/>
    </row>
    <row r="97" spans="2:17" x14ac:dyDescent="0.3">
      <c r="B97" s="136">
        <v>7</v>
      </c>
      <c r="C97" s="136">
        <v>34.97</v>
      </c>
      <c r="D97" s="136">
        <v>35.39</v>
      </c>
      <c r="F97" s="134">
        <v>7</v>
      </c>
      <c r="G97" s="135">
        <v>34.979999999999997</v>
      </c>
      <c r="H97" s="135">
        <v>35.4</v>
      </c>
      <c r="I97" s="139"/>
      <c r="J97" s="141">
        <f t="shared" si="2"/>
        <v>-9.9999999999980105E-3</v>
      </c>
      <c r="K97" s="141">
        <f t="shared" si="3"/>
        <v>-9.9999999999980105E-3</v>
      </c>
      <c r="M97" s="3"/>
      <c r="Q97" s="3"/>
    </row>
    <row r="98" spans="2:17" x14ac:dyDescent="0.3">
      <c r="B98" s="136">
        <v>6</v>
      </c>
      <c r="C98" s="136">
        <v>34.46</v>
      </c>
      <c r="D98" s="136">
        <v>34.869999999999997</v>
      </c>
      <c r="F98" s="134">
        <v>6</v>
      </c>
      <c r="G98" s="135">
        <v>34.47</v>
      </c>
      <c r="H98" s="135">
        <v>34.880000000000003</v>
      </c>
      <c r="I98" s="139"/>
      <c r="J98" s="141">
        <f t="shared" si="2"/>
        <v>-9.9999999999980105E-3</v>
      </c>
      <c r="K98" s="141">
        <f t="shared" si="3"/>
        <v>-1.0000000000005116E-2</v>
      </c>
      <c r="M98" s="3"/>
      <c r="Q98" s="3"/>
    </row>
    <row r="99" spans="2:17" x14ac:dyDescent="0.3">
      <c r="B99" s="136">
        <v>5</v>
      </c>
      <c r="C99" s="136">
        <v>33.93</v>
      </c>
      <c r="D99" s="136">
        <v>34.409999999999997</v>
      </c>
      <c r="F99" s="134">
        <v>5</v>
      </c>
      <c r="G99" s="135">
        <v>33.93</v>
      </c>
      <c r="H99" s="135">
        <v>34.42</v>
      </c>
      <c r="I99" s="139"/>
      <c r="J99" s="141">
        <f t="shared" si="2"/>
        <v>0</v>
      </c>
      <c r="K99" s="141">
        <f t="shared" si="3"/>
        <v>-1.0000000000005116E-2</v>
      </c>
      <c r="M99" s="3"/>
      <c r="Q99" s="3"/>
    </row>
    <row r="100" spans="2:17" x14ac:dyDescent="0.3">
      <c r="B100" s="136">
        <v>4</v>
      </c>
      <c r="C100" s="136">
        <v>33.35</v>
      </c>
      <c r="D100" s="136">
        <v>33.909999999999997</v>
      </c>
      <c r="F100" s="134">
        <v>4</v>
      </c>
      <c r="G100" s="135">
        <v>33.35</v>
      </c>
      <c r="H100" s="135">
        <v>33.92</v>
      </c>
      <c r="I100" s="139"/>
      <c r="J100" s="141">
        <f t="shared" si="2"/>
        <v>0</v>
      </c>
      <c r="K100" s="141">
        <f t="shared" si="3"/>
        <v>-1.0000000000005116E-2</v>
      </c>
      <c r="M100" s="3"/>
      <c r="Q100" s="3"/>
    </row>
    <row r="101" spans="2:17" x14ac:dyDescent="0.3">
      <c r="B101" s="136">
        <v>3</v>
      </c>
      <c r="C101" s="136">
        <v>32.450000000000003</v>
      </c>
      <c r="D101" s="136">
        <v>33.18</v>
      </c>
      <c r="F101" s="134">
        <v>3</v>
      </c>
      <c r="G101" s="135">
        <v>32.450000000000003</v>
      </c>
      <c r="H101" s="135">
        <v>33.19</v>
      </c>
      <c r="I101" s="139"/>
      <c r="J101" s="141">
        <f t="shared" si="2"/>
        <v>0</v>
      </c>
      <c r="K101" s="141">
        <f t="shared" si="3"/>
        <v>-9.9999999999980105E-3</v>
      </c>
      <c r="M101" s="3"/>
      <c r="Q101" s="3"/>
    </row>
    <row r="102" spans="2:17" x14ac:dyDescent="0.3">
      <c r="B102" s="136">
        <v>2</v>
      </c>
      <c r="C102" s="136">
        <v>31.6</v>
      </c>
      <c r="D102" s="136">
        <v>32.31</v>
      </c>
      <c r="F102" s="134">
        <v>2</v>
      </c>
      <c r="G102" s="135">
        <v>31.6</v>
      </c>
      <c r="H102" s="135">
        <v>32.31</v>
      </c>
      <c r="I102" s="139"/>
      <c r="J102" s="141">
        <f t="shared" si="2"/>
        <v>0</v>
      </c>
      <c r="K102" s="141">
        <f t="shared" si="3"/>
        <v>0</v>
      </c>
      <c r="M102" s="3"/>
      <c r="Q102" s="3"/>
    </row>
    <row r="103" spans="2:17" x14ac:dyDescent="0.3">
      <c r="B103" s="136">
        <v>1</v>
      </c>
      <c r="C103" s="136">
        <v>30.5</v>
      </c>
      <c r="D103" s="136">
        <v>31.25</v>
      </c>
      <c r="F103" s="134">
        <v>1</v>
      </c>
      <c r="G103" s="135">
        <v>30.5</v>
      </c>
      <c r="H103" s="135">
        <v>31.25</v>
      </c>
      <c r="I103" s="139"/>
      <c r="J103" s="141">
        <f t="shared" si="2"/>
        <v>0</v>
      </c>
      <c r="K103" s="141">
        <f t="shared" si="3"/>
        <v>0</v>
      </c>
      <c r="M103" s="3"/>
      <c r="Q103" s="3"/>
    </row>
    <row r="104" spans="2:17" x14ac:dyDescent="0.3">
      <c r="M104" s="3"/>
      <c r="N104" s="3"/>
      <c r="O104" s="3"/>
      <c r="P104" s="3"/>
      <c r="Q104" s="3"/>
    </row>
  </sheetData>
  <sheetProtection password="B7A3" sheet="1" objects="1" scenarios="1" selectLockedCells="1"/>
  <mergeCells count="2">
    <mergeCell ref="B2:D2"/>
    <mergeCell ref="F2:H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7</vt:i4>
      </vt:variant>
    </vt:vector>
  </HeadingPairs>
  <TitlesOfParts>
    <vt:vector size="7" baseType="lpstr">
      <vt:lpstr>메인</vt:lpstr>
      <vt:lpstr>입력</vt:lpstr>
      <vt:lpstr>계산탭</vt:lpstr>
      <vt:lpstr>변표일반</vt:lpstr>
      <vt:lpstr>변표특수</vt:lpstr>
      <vt:lpstr>서울대이과변표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Yongseok Lee</dc:creator>
  <cp:lastModifiedBy>Preferred Customer</cp:lastModifiedBy>
  <dcterms:created xsi:type="dcterms:W3CDTF">2013-12-01T08:44:40Z</dcterms:created>
  <dcterms:modified xsi:type="dcterms:W3CDTF">2013-12-16T03:37:33Z</dcterms:modified>
</cp:coreProperties>
</file>